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209"/>
  <workbookPr/>
  <mc:AlternateContent xmlns:mc="http://schemas.openxmlformats.org/markup-compatibility/2006">
    <mc:Choice Requires="x15">
      <x15ac:absPath xmlns:x15ac="http://schemas.microsoft.com/office/spreadsheetml/2010/11/ac" url="/Users/fernandomontes/Desktop/"/>
    </mc:Choice>
  </mc:AlternateContent>
  <bookViews>
    <workbookView xWindow="380" yWindow="800" windowWidth="33340" windowHeight="20240" activeTab="5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9" i="8" l="1"/>
  <c r="G26" i="5"/>
  <c r="B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E8" i="8"/>
  <c r="B8" i="8"/>
  <c r="C8" i="8"/>
  <c r="E7" i="8"/>
  <c r="B7" i="8"/>
  <c r="C7" i="8"/>
  <c r="F22" i="7"/>
  <c r="E22" i="7"/>
  <c r="D22" i="7"/>
  <c r="F21" i="7"/>
  <c r="E21" i="7"/>
  <c r="D21" i="7"/>
  <c r="F20" i="7"/>
  <c r="E20" i="7"/>
  <c r="D20" i="7"/>
  <c r="F19" i="7"/>
  <c r="E19" i="7"/>
  <c r="D19" i="7"/>
  <c r="F18" i="7"/>
  <c r="E18" i="7"/>
  <c r="D18" i="7"/>
  <c r="F17" i="7"/>
  <c r="E17" i="7"/>
  <c r="D17" i="7"/>
  <c r="F16" i="7"/>
  <c r="E16" i="7"/>
  <c r="D16" i="7"/>
  <c r="F15" i="7"/>
  <c r="E15" i="7"/>
  <c r="D15" i="7"/>
  <c r="F14" i="7"/>
  <c r="E14" i="7"/>
  <c r="D14" i="7"/>
  <c r="F13" i="7"/>
  <c r="E13" i="7"/>
  <c r="D13" i="7"/>
  <c r="F12" i="7"/>
  <c r="E12" i="7"/>
  <c r="D12" i="7"/>
  <c r="F11" i="7"/>
  <c r="E11" i="7"/>
  <c r="D11" i="7"/>
  <c r="F10" i="7"/>
  <c r="E10" i="7"/>
  <c r="D10" i="7"/>
  <c r="F9" i="7"/>
  <c r="E9" i="7"/>
  <c r="D9" i="7"/>
  <c r="F8" i="7"/>
  <c r="E8" i="7"/>
  <c r="D8" i="7"/>
  <c r="F7" i="7"/>
  <c r="E7" i="7"/>
  <c r="D7" i="7"/>
  <c r="B3" i="7"/>
  <c r="M26" i="7"/>
  <c r="I22" i="7"/>
  <c r="B22" i="7"/>
  <c r="C22" i="7"/>
  <c r="G22" i="7"/>
  <c r="I21" i="7"/>
  <c r="B21" i="7"/>
  <c r="C21" i="7"/>
  <c r="G21" i="7"/>
  <c r="I20" i="7"/>
  <c r="B20" i="7"/>
  <c r="C20" i="7"/>
  <c r="G20" i="7"/>
  <c r="I19" i="7"/>
  <c r="B19" i="7"/>
  <c r="C19" i="7"/>
  <c r="G19" i="7"/>
  <c r="I18" i="7"/>
  <c r="B18" i="7"/>
  <c r="C18" i="7"/>
  <c r="G18" i="7"/>
  <c r="I17" i="7"/>
  <c r="B17" i="7"/>
  <c r="C17" i="7"/>
  <c r="G17" i="7"/>
  <c r="I16" i="7"/>
  <c r="B16" i="7"/>
  <c r="C16" i="7"/>
  <c r="G16" i="7"/>
  <c r="I15" i="7"/>
  <c r="B15" i="7"/>
  <c r="C15" i="7"/>
  <c r="G15" i="7"/>
  <c r="I14" i="7"/>
  <c r="B14" i="7"/>
  <c r="C14" i="7"/>
  <c r="G14" i="7"/>
  <c r="I13" i="7"/>
  <c r="B13" i="7"/>
  <c r="C13" i="7"/>
  <c r="G13" i="7"/>
  <c r="I12" i="7"/>
  <c r="B12" i="7"/>
  <c r="C12" i="7"/>
  <c r="G12" i="7"/>
  <c r="I11" i="7"/>
  <c r="B11" i="7"/>
  <c r="C11" i="7"/>
  <c r="G11" i="7"/>
  <c r="I10" i="7"/>
  <c r="B10" i="7"/>
  <c r="C10" i="7"/>
  <c r="G10" i="7"/>
  <c r="I9" i="7"/>
  <c r="B9" i="7"/>
  <c r="C9" i="7"/>
  <c r="G9" i="7"/>
  <c r="I8" i="7"/>
  <c r="B8" i="7"/>
  <c r="C8" i="7"/>
  <c r="G8" i="7"/>
  <c r="I7" i="7"/>
  <c r="B7" i="7"/>
  <c r="C7" i="7"/>
  <c r="G7" i="7"/>
  <c r="B25" i="5"/>
  <c r="B26" i="5"/>
  <c r="B27" i="5"/>
  <c r="D22" i="5"/>
  <c r="B3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J2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I6" i="2"/>
  <c r="B11" i="2"/>
  <c r="B21" i="1"/>
  <c r="B20" i="1"/>
  <c r="B19" i="1"/>
  <c r="B18" i="1"/>
  <c r="B17" i="1"/>
  <c r="B16" i="1"/>
  <c r="B15" i="1"/>
  <c r="B14" i="1"/>
  <c r="B11" i="1"/>
  <c r="B24" i="1"/>
  <c r="B23" i="1"/>
  <c r="B13" i="1"/>
  <c r="B22" i="1"/>
  <c r="B12" i="1"/>
  <c r="G25" i="5"/>
  <c r="G29" i="5"/>
  <c r="G27" i="5"/>
  <c r="G31" i="5"/>
  <c r="G30" i="5"/>
  <c r="J29" i="5"/>
  <c r="J25" i="5"/>
  <c r="J27" i="5"/>
  <c r="B26" i="7"/>
  <c r="B25" i="7"/>
  <c r="J25" i="7"/>
  <c r="J26" i="7"/>
  <c r="B27" i="7"/>
  <c r="J27" i="7"/>
  <c r="M25" i="7"/>
  <c r="M27" i="7"/>
  <c r="J29" i="7"/>
  <c r="J31" i="7"/>
  <c r="J30" i="7"/>
  <c r="M29" i="7"/>
</calcChain>
</file>

<file path=xl/sharedStrings.xml><?xml version="1.0" encoding="utf-8"?>
<sst xmlns="http://schemas.openxmlformats.org/spreadsheetml/2006/main" count="155" uniqueCount="109">
  <si>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</si>
  <si>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</si>
  <si>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</si>
  <si>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</si>
  <si>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</si>
  <si>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</si>
  <si>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</si>
  <si>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</si>
  <si>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</si>
  <si>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</si>
  <si>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</si>
  <si>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</si>
  <si>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</si>
  <si>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</si>
  <si>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</si>
  <si>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</si>
  <si>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</si>
  <si>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</si>
  <si>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</si>
  <si>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</si>
  <si>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</si>
  <si>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</si>
  <si>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</si>
  <si>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</si>
  <si>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</si>
  <si>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</si>
  <si>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</si>
  <si>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</si>
  <si>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</si>
  <si>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</si>
  <si>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</si>
  <si>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</si>
  <si>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</si>
  <si>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</si>
  <si>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</si>
  <si>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</si>
  <si>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</si>
  <si>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</si>
  <si>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</si>
  <si>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</si>
  <si>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</si>
  <si>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</si>
  <si>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</si>
  <si>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</si>
  <si>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</si>
  <si>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</si>
  <si>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</si>
  <si>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</si>
  <si>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Reaction: Al-23 (p,g)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</si>
  <si>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</si>
  <si>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</si>
  <si>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</si>
  <si>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</si>
  <si>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</si>
  <si>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</si>
  <si>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</si>
  <si>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</si>
  <si>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</si>
  <si>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</si>
  <si>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23Al</t>
  </si>
  <si>
    <t>1H</t>
  </si>
  <si>
    <t>24Si</t>
  </si>
  <si>
    <t>gamma</t>
  </si>
  <si>
    <t>Note: We used DI instead of DP to match a "textbook dipole" rather than a parallel dipole.</t>
  </si>
  <si>
    <t>Problem 3</t>
  </si>
  <si>
    <t>Problem 4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</si>
  <si>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</si>
  <si>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</si>
  <si>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</si>
  <si>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</si>
  <si>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</si>
  <si>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</si>
  <si>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</si>
  <si>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Problem 5</t>
  </si>
  <si>
    <t>https://journals.aps.org/prl/abstract/10.1103/PhysRevLett.79.3845</t>
  </si>
  <si>
    <t>Problem 6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</si>
  <si>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</si>
  <si>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</si>
  <si>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</si>
  <si>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</si>
  <si>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</si>
  <si>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</si>
  <si>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</si>
  <si>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</si>
  <si>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</si>
  <si>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</si>
  <si>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</si>
  <si>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</si>
  <si>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</si>
  <si>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</si>
  <si>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</si>
  <si>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</si>
  <si>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</si>
  <si>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</si>
  <si>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</si>
  <si>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</si>
  <si>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</si>
  <si>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</si>
  <si>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</si>
  <si>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</si>
  <si>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</si>
  <si>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</si>
  <si>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x_max [m]
(VMAX(RAY(1))</t>
  </si>
  <si>
    <r>
      <t>(x_max)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</si>
  <si>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K [1/m]</t>
  </si>
  <si>
    <t>Length quad [m] =</t>
  </si>
  <si>
    <t>kq Sinh[kq Lq]</t>
  </si>
  <si>
    <t>1/kq Sinh[kq Lq]</t>
  </si>
  <si>
    <t>Cosh[kq Lq]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</si>
</sst>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71" formatCode="0.0000000"/>
    <numFmt numFmtId="173" formatCode="0.0000000E+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</cellStyleXfs>
  <cellXfs count="27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center"/>
    </xf>
    <xf numFmtId="0" fontId="4" fillId="0" borderId="1" xfId="2" applyAlignment="1">
      <alignment horizontal="left"/>
    </xf>
    <xf numFmtId="0" fontId="1" fillId="0" borderId="0" xfId="0" applyFont="1" applyAlignment="1">
      <alignment horizontal="left"/>
    </xf>
    <xf numFmtId="0" fontId="4" fillId="0" borderId="1" xfId="2"/>
    <xf numFmtId="171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</cellXfs>
  <cellStyles count="5">
    <cellStyle name="Calculation" xfId="3" builtinId="22"/>
    <cellStyle name="Heading 1" xfId="2" builtinId="16"/>
    <cellStyle name="Hyperlink" xfId="4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8"/>
                  <c:y val="-0.1226265030824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'6.'!$D$7:$D$22</c:f>
              <c:numCache>
                <c:formatCode>0.000</c:formatCode>
                <c:ptCount val="16"/>
                <c:pt idx="0">
                  <c:v>-0.333114834713195</c:v>
                </c:pt>
                <c:pt idx="1">
                  <c:v>-0.299252002651796</c:v>
                </c:pt>
                <c:pt idx="2">
                  <c:v>-0.265512235717809</c:v>
                </c:pt>
                <c:pt idx="3">
                  <c:v>-0.231895329827407</c:v>
                </c:pt>
                <c:pt idx="4">
                  <c:v>-0.198401081112325</c:v>
                </c:pt>
                <c:pt idx="5">
                  <c:v>-0.1650292859197</c:v>
                </c:pt>
                <c:pt idx="6">
                  <c:v>-0.131779740811895</c:v>
                </c:pt>
                <c:pt idx="7">
                  <c:v>-0.0986522425663425</c:v>
                </c:pt>
                <c:pt idx="8">
                  <c:v>-0.065646588175372</c:v>
                </c:pt>
                <c:pt idx="9">
                  <c:v>-0.0327625748460473</c:v>
                </c:pt>
                <c:pt idx="10">
                  <c:v>0.00327079852190996</c:v>
                </c:pt>
                <c:pt idx="11">
                  <c:v>0.0327625748460476</c:v>
                </c:pt>
                <c:pt idx="12">
                  <c:v>0.0656465881753724</c:v>
                </c:pt>
                <c:pt idx="13">
                  <c:v>0.0986522425663428</c:v>
                </c:pt>
                <c:pt idx="14">
                  <c:v>0.131779740811895</c:v>
                </c:pt>
                <c:pt idx="15">
                  <c:v>0.1650292859197</c:v>
                </c:pt>
              </c:numCache>
            </c:numRef>
          </c:xVal>
          <c:yVal>
            <c:numRef>
              <c:f>'6.'!$F$7:$F$22</c:f>
              <c:numCache>
                <c:formatCode>0.00E+00</c:formatCode>
                <c:ptCount val="16"/>
                <c:pt idx="0">
                  <c:v>2.42067262056009E-5</c:v>
                </c:pt>
                <c:pt idx="1">
                  <c:v>1.80734900701125E-5</c:v>
                </c:pt>
                <c:pt idx="2">
                  <c:v>1.28605448780789E-5</c:v>
                </c:pt>
                <c:pt idx="3">
                  <c:v>8.55340241971413E-6</c:v>
                </c:pt>
                <c:pt idx="4">
                  <c:v>5.13778962839663E-6</c:v>
                </c:pt>
                <c:pt idx="5">
                  <c:v>2.59948822241863E-6</c:v>
                </c:pt>
                <c:pt idx="6">
                  <c:v>9.24446416356685E-7</c:v>
                </c:pt>
                <c:pt idx="7">
                  <c:v>3.89250267241123E-7</c:v>
                </c:pt>
                <c:pt idx="8">
                  <c:v>8.2679388933567E-7</c:v>
                </c:pt>
                <c:pt idx="9">
                  <c:v>1.42341989239172E-6</c:v>
                </c:pt>
                <c:pt idx="10">
                  <c:v>2.78824010645744E-6</c:v>
                </c:pt>
                <c:pt idx="11">
                  <c:v>5.0152241318052E-6</c:v>
                </c:pt>
                <c:pt idx="12">
                  <c:v>8.23176439537497E-6</c:v>
                </c:pt>
                <c:pt idx="13">
                  <c:v>1.22168858280443E-5</c:v>
                </c:pt>
                <c:pt idx="14">
                  <c:v>1.69573693261162E-5</c:v>
                </c:pt>
                <c:pt idx="15">
                  <c:v>2.24403605859739E-5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9104"/>
        <c:axId val="784143440"/>
      </c:scatterChart>
      <c:valAx>
        <c:axId val="784139104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43440"/>
        <c:crosses val="autoZero"/>
        <c:crossBetween val="midCat"/>
      </c:valAx>
      <c:valAx>
        <c:axId val="78414344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9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8"/>
                  <c:y val="-0.1226265030824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problem'!$G$7:$G$22</c:f>
              <c:numCache>
                <c:formatCode>0.000</c:formatCode>
                <c:ptCount val="16"/>
                <c:pt idx="0">
                  <c:v>-0.333114834713195</c:v>
                </c:pt>
                <c:pt idx="1">
                  <c:v>-0.299252002651796</c:v>
                </c:pt>
                <c:pt idx="2">
                  <c:v>-0.265512235717809</c:v>
                </c:pt>
                <c:pt idx="3">
                  <c:v>-0.231895329827407</c:v>
                </c:pt>
                <c:pt idx="4">
                  <c:v>-0.198401081112325</c:v>
                </c:pt>
                <c:pt idx="5">
                  <c:v>-0.1650292859197</c:v>
                </c:pt>
                <c:pt idx="6">
                  <c:v>-0.131779740811895</c:v>
                </c:pt>
                <c:pt idx="7">
                  <c:v>-0.0986522425663425</c:v>
                </c:pt>
                <c:pt idx="8">
                  <c:v>-0.065646588175372</c:v>
                </c:pt>
                <c:pt idx="9">
                  <c:v>-0.0327625748460473</c:v>
                </c:pt>
                <c:pt idx="10">
                  <c:v>0.00327079852190996</c:v>
                </c:pt>
                <c:pt idx="11">
                  <c:v>0.0327625748460476</c:v>
                </c:pt>
                <c:pt idx="12">
                  <c:v>0.0656465881753724</c:v>
                </c:pt>
                <c:pt idx="13">
                  <c:v>0.0986522425663428</c:v>
                </c:pt>
                <c:pt idx="14">
                  <c:v>0.131779740811895</c:v>
                </c:pt>
                <c:pt idx="15">
                  <c:v>0.1650292859197</c:v>
                </c:pt>
              </c:numCache>
            </c:numRef>
          </c:xVal>
          <c:yVal>
            <c:numRef>
              <c:f>'6. problem'!$I$7:$I$22</c:f>
              <c:numCache>
                <c:formatCode>0.00E+00</c:formatCode>
                <c:ptCount val="16"/>
                <c:pt idx="0">
                  <c:v>2.42067262056009E-5</c:v>
                </c:pt>
                <c:pt idx="1">
                  <c:v>1.80734900701125E-5</c:v>
                </c:pt>
                <c:pt idx="2">
                  <c:v>1.28605448780789E-5</c:v>
                </c:pt>
                <c:pt idx="3">
                  <c:v>8.55340241971413E-6</c:v>
                </c:pt>
                <c:pt idx="4">
                  <c:v>5.13778962839663E-6</c:v>
                </c:pt>
                <c:pt idx="5">
                  <c:v>2.59948822241863E-6</c:v>
                </c:pt>
                <c:pt idx="6">
                  <c:v>9.24446416356685E-7</c:v>
                </c:pt>
                <c:pt idx="7">
                  <c:v>3.89250267241123E-7</c:v>
                </c:pt>
                <c:pt idx="8">
                  <c:v>8.2679388933567E-7</c:v>
                </c:pt>
                <c:pt idx="9">
                  <c:v>1.42341989239172E-6</c:v>
                </c:pt>
                <c:pt idx="10">
                  <c:v>2.78824010645744E-6</c:v>
                </c:pt>
                <c:pt idx="11">
                  <c:v>5.0152241318052E-6</c:v>
                </c:pt>
                <c:pt idx="12">
                  <c:v>8.23176439537497E-6</c:v>
                </c:pt>
                <c:pt idx="13">
                  <c:v>1.22168858280443E-5</c:v>
                </c:pt>
                <c:pt idx="14">
                  <c:v>1.69573693261162E-5</c:v>
                </c:pt>
                <c:pt idx="15">
                  <c:v>2.24403605859739E-5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93328"/>
        <c:axId val="784297680"/>
      </c:scatterChart>
      <c:valAx>
        <c:axId val="784293328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7680"/>
        <c:crosses val="autoZero"/>
        <c:crossBetween val="midCat"/>
      </c:valAx>
      <c:valAx>
        <c:axId val="78429768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4.tiff"/><Relationship Id="rId3" Type="http://schemas.openxmlformats.org/officeDocument/2006/relationships/image" Target="../media/image5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4.tiff"/><Relationship Id="rId3" Type="http://schemas.openxmlformats.org/officeDocument/2006/relationships/image" Target="../media/image5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26</xdr:row>
      <xdr:rowOff>175261</xdr:rowOff>
    </xdr:from>
    <xdr:to>
      <xdr:col>12</xdr:col>
      <xdr:colOff>99060</xdr:colOff>
      <xdr:row>39</xdr:row>
      <xdr:rowOff>12073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823B44E-7B85-4F23-8524-283BE872E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39</xdr:row>
      <xdr:rowOff>0</xdr:rowOff>
    </xdr:from>
    <xdr:to>
      <xdr:col>12</xdr:col>
      <xdr:colOff>134797</xdr:colOff>
      <xdr:row>50</xdr:row>
      <xdr:rowOff>152400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7DFA92F-FAEB-48D3-9917-A15ED02A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</xdr:row>
      <xdr:rowOff>1</xdr:rowOff>
    </xdr:from>
    <xdr:to>
      <xdr:col>8</xdr:col>
      <xdr:colOff>458761</xdr:colOff>
      <xdr:row>36</xdr:row>
      <xdr:rowOff>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E21DC4D-8ACC-45E3-8C17-AA48E841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5</xdr:row>
      <xdr:rowOff>7620</xdr:rowOff>
    </xdr:from>
    <xdr:to>
      <xdr:col>14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2189290-AA06-4AD5-81B5-0610DCE80B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5</xdr:col>
      <xdr:colOff>812800</xdr:colOff>
      <xdr:row>65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304800</xdr:colOff>
      <xdr:row>63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5</xdr:row>
      <xdr:rowOff>7620</xdr:rowOff>
    </xdr:from>
    <xdr:to>
      <xdr:col>17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2189290-AA06-4AD5-81B5-0610DCE80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5</xdr:col>
      <xdr:colOff>812800</xdr:colOff>
      <xdr:row>65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304800</xdr:colOff>
      <xdr:row>63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4</xdr:row>
      <xdr:rowOff>38100</xdr:rowOff>
    </xdr:from>
    <xdr:to>
      <xdr:col>18</xdr:col>
      <xdr:colOff>577930</xdr:colOff>
      <xdr:row>53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889000"/>
          <a:ext cx="8959930" cy="996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journals.aps.org/prl/abstract/10.1103/PhysRevLett.79.3845" TargetMode="External"/><Relationship Id="rId2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workbookViewId="0">
      <selection activeCell="A2" sqref="A2"/>
    </sheetView>
  </sheetViews>
  <sheetFormatPr baseColWidth="10" defaultColWidth="8.83203125" defaultRowHeight="15" x14ac:dyDescent="0.2"/>
  <sheetData>
    <row r="1" spans="1:6" s="22" customFormat="1" ht="21" thickBot="1" x14ac:dyDescent="0.3">
      <c r="A1" s="22" t="s">
        <v>64</v>
      </c>
    </row>
    <row r="2" spans="1:6" ht="16" thickTop="1" x14ac:dyDescent="0.2"/>
    <row r="3" spans="1:6" x14ac:dyDescent="0.2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4"/>
    </row>
    <row r="4" spans="1:6" x14ac:dyDescent="0.2">
      <c r="A4" s="1">
        <v>0.63639610000000002</v>
      </c>
      <c r="B4" s="1">
        <v>-0.70710680000000004</v>
      </c>
      <c r="C4" s="1">
        <v>0</v>
      </c>
      <c r="D4" s="1">
        <v>0</v>
      </c>
      <c r="E4" s="1">
        <v>-0.35373399999999999</v>
      </c>
      <c r="F4" s="4" t="s">
        <v>0</v>
      </c>
    </row>
    <row r="5" spans="1:6" x14ac:dyDescent="0.2">
      <c r="A5" s="1">
        <v>0.84145709999999996</v>
      </c>
      <c r="B5" s="1">
        <v>0.63639610000000002</v>
      </c>
      <c r="C5" s="1">
        <v>0</v>
      </c>
      <c r="D5" s="1">
        <v>0</v>
      </c>
      <c r="E5" s="1">
        <v>-0.1818948</v>
      </c>
      <c r="F5" s="4" t="s">
        <v>1</v>
      </c>
    </row>
    <row r="6" spans="1:6" x14ac:dyDescent="0.2">
      <c r="A6" s="1">
        <v>0</v>
      </c>
      <c r="B6" s="1">
        <v>0</v>
      </c>
      <c r="C6" s="1">
        <v>1</v>
      </c>
      <c r="D6" s="1">
        <v>0</v>
      </c>
      <c r="E6" s="1">
        <v>0</v>
      </c>
      <c r="F6" s="4" t="s">
        <v>2</v>
      </c>
    </row>
    <row r="7" spans="1:6" x14ac:dyDescent="0.2">
      <c r="A7" s="1">
        <v>0</v>
      </c>
      <c r="B7" s="1">
        <v>0</v>
      </c>
      <c r="C7" s="1">
        <v>0.9853982</v>
      </c>
      <c r="D7" s="1">
        <v>1</v>
      </c>
      <c r="E7" s="1">
        <v>0</v>
      </c>
      <c r="F7" s="4" t="s">
        <v>3</v>
      </c>
    </row>
    <row r="8" spans="1:6" x14ac:dyDescent="0.2">
      <c r="A8" s="1">
        <v>0</v>
      </c>
      <c r="B8" s="1">
        <v>0</v>
      </c>
      <c r="C8" s="1">
        <v>0</v>
      </c>
      <c r="D8" s="1">
        <v>0</v>
      </c>
      <c r="E8" s="1">
        <v>1</v>
      </c>
      <c r="F8" s="4" t="s">
        <v>4</v>
      </c>
    </row>
    <row r="9" spans="1:6" x14ac:dyDescent="0.2">
      <c r="A9" s="1">
        <v>0.1818948</v>
      </c>
      <c r="B9" s="1">
        <v>0.35373399999999999</v>
      </c>
      <c r="C9" s="1">
        <v>0</v>
      </c>
      <c r="D9" s="1">
        <v>0</v>
      </c>
      <c r="E9" s="1">
        <v>0.22650500000000001</v>
      </c>
      <c r="F9" s="4" t="s">
        <v>11</v>
      </c>
    </row>
    <row r="11" spans="1:6" x14ac:dyDescent="0.2">
      <c r="A11" t="s">
        <v>5</v>
      </c>
      <c r="B11" s="2">
        <f>A4</f>
        <v>0.63639610000000002</v>
      </c>
      <c r="D11" t="s">
        <v>25</v>
      </c>
    </row>
    <row r="12" spans="1:6" x14ac:dyDescent="0.2">
      <c r="A12" t="s">
        <v>6</v>
      </c>
      <c r="B12" s="2">
        <f>A5</f>
        <v>0.84145709999999996</v>
      </c>
      <c r="D12" t="s">
        <v>21</v>
      </c>
    </row>
    <row r="13" spans="1:6" x14ac:dyDescent="0.2">
      <c r="A13" t="s">
        <v>12</v>
      </c>
      <c r="B13" s="2">
        <f>A9</f>
        <v>0.1818948</v>
      </c>
      <c r="D13" t="s">
        <v>20</v>
      </c>
    </row>
    <row r="14" spans="1:6" x14ac:dyDescent="0.2">
      <c r="A14" t="s">
        <v>9</v>
      </c>
      <c r="B14" s="2">
        <f>B4</f>
        <v>-0.70710680000000004</v>
      </c>
      <c r="D14" t="s">
        <v>23</v>
      </c>
    </row>
    <row r="15" spans="1:6" x14ac:dyDescent="0.2">
      <c r="A15" t="s">
        <v>7</v>
      </c>
      <c r="B15" s="2">
        <f>B5</f>
        <v>0.63639610000000002</v>
      </c>
      <c r="D15" t="s">
        <v>24</v>
      </c>
    </row>
    <row r="16" spans="1:6" x14ac:dyDescent="0.2">
      <c r="A16" t="s">
        <v>13</v>
      </c>
      <c r="B16" s="2">
        <f>B9</f>
        <v>0.35373399999999999</v>
      </c>
      <c r="D16" t="s">
        <v>22</v>
      </c>
    </row>
    <row r="17" spans="1:4" x14ac:dyDescent="0.2">
      <c r="A17" t="s">
        <v>14</v>
      </c>
      <c r="B17" s="2">
        <f>C6</f>
        <v>1</v>
      </c>
      <c r="D17" t="s">
        <v>26</v>
      </c>
    </row>
    <row r="18" spans="1:4" x14ac:dyDescent="0.2">
      <c r="A18" t="s">
        <v>15</v>
      </c>
      <c r="B18" s="2">
        <f>C7</f>
        <v>0.9853982</v>
      </c>
      <c r="D18" t="s">
        <v>27</v>
      </c>
    </row>
    <row r="19" spans="1:4" x14ac:dyDescent="0.2">
      <c r="A19" t="s">
        <v>16</v>
      </c>
      <c r="B19" s="2">
        <f>D6</f>
        <v>0</v>
      </c>
      <c r="D19" t="s">
        <v>28</v>
      </c>
    </row>
    <row r="20" spans="1:4" x14ac:dyDescent="0.2">
      <c r="A20" t="s">
        <v>17</v>
      </c>
      <c r="B20" s="2">
        <f>D7</f>
        <v>1</v>
      </c>
      <c r="D20" t="s">
        <v>29</v>
      </c>
    </row>
    <row r="21" spans="1:4" x14ac:dyDescent="0.2">
      <c r="A21" t="s">
        <v>8</v>
      </c>
      <c r="B21" s="2">
        <f>E4</f>
        <v>-0.35373399999999999</v>
      </c>
    </row>
    <row r="22" spans="1:4" x14ac:dyDescent="0.2">
      <c r="A22" t="s">
        <v>10</v>
      </c>
      <c r="B22" s="2">
        <f>E5</f>
        <v>-0.1818948</v>
      </c>
    </row>
    <row r="23" spans="1:4" x14ac:dyDescent="0.2">
      <c r="A23" t="s">
        <v>18</v>
      </c>
      <c r="B23" s="2">
        <f>E8</f>
        <v>1</v>
      </c>
    </row>
    <row r="24" spans="1:4" x14ac:dyDescent="0.2">
      <c r="A24" t="s">
        <v>19</v>
      </c>
      <c r="B24" s="2">
        <f>E9</f>
        <v>0.22650500000000001</v>
      </c>
    </row>
    <row r="27" spans="1:4" x14ac:dyDescent="0.2">
      <c r="A27" s="4" t="s">
        <v>93</v>
      </c>
    </row>
    <row r="28" spans="1:4" x14ac:dyDescent="0.2">
      <c r="A28" t="s">
        <v>30</v>
      </c>
    </row>
    <row r="29" spans="1:4" x14ac:dyDescent="0.2">
      <c r="A29" t="s">
        <v>31</v>
      </c>
    </row>
    <row r="30" spans="1:4" x14ac:dyDescent="0.2">
      <c r="A30" t="s">
        <v>32</v>
      </c>
    </row>
    <row r="31" spans="1:4" x14ac:dyDescent="0.2">
      <c r="A31" t="s">
        <v>33</v>
      </c>
    </row>
    <row r="32" spans="1:4" x14ac:dyDescent="0.2">
      <c r="A32" t="s">
        <v>34</v>
      </c>
    </row>
    <row r="33" spans="1:1" x14ac:dyDescent="0.2">
      <c r="A33" t="s">
        <v>35</v>
      </c>
    </row>
    <row r="34" spans="1:1" x14ac:dyDescent="0.2">
      <c r="A34" t="s">
        <v>36</v>
      </c>
    </row>
    <row r="35" spans="1:1" x14ac:dyDescent="0.2">
      <c r="A35" t="s">
        <v>37</v>
      </c>
    </row>
    <row r="37" spans="1:1" x14ac:dyDescent="0.2">
      <c r="A37" t="s">
        <v>38</v>
      </c>
    </row>
    <row r="38" spans="1:1" x14ac:dyDescent="0.2">
      <c r="A38" t="s">
        <v>39</v>
      </c>
    </row>
    <row r="40" spans="1:1" x14ac:dyDescent="0.2">
      <c r="A40" t="s">
        <v>40</v>
      </c>
    </row>
    <row r="41" spans="1:1" x14ac:dyDescent="0.2">
      <c r="A41" t="s">
        <v>41</v>
      </c>
    </row>
    <row r="42" spans="1:1" x14ac:dyDescent="0.2">
      <c r="A42" t="s">
        <v>40</v>
      </c>
    </row>
    <row r="43" spans="1:1" x14ac:dyDescent="0.2">
      <c r="A43" t="s">
        <v>35</v>
      </c>
    </row>
    <row r="44" spans="1:1" x14ac:dyDescent="0.2">
      <c r="A44" t="s">
        <v>42</v>
      </c>
    </row>
    <row r="45" spans="1:1" x14ac:dyDescent="0.2">
      <c r="A45" t="s">
        <v>43</v>
      </c>
    </row>
    <row r="47" spans="1:1" x14ac:dyDescent="0.2">
      <c r="A47" t="s">
        <v>44</v>
      </c>
    </row>
    <row r="48" spans="1:1" x14ac:dyDescent="0.2">
      <c r="A48" t="s">
        <v>45</v>
      </c>
    </row>
    <row r="50" spans="1:1" x14ac:dyDescent="0.2">
      <c r="A50" t="s">
        <v>46</v>
      </c>
    </row>
    <row r="51" spans="1:1" x14ac:dyDescent="0.2">
      <c r="A51" t="s">
        <v>47</v>
      </c>
    </row>
    <row r="54" spans="1:1" x14ac:dyDescent="0.2">
      <c r="A54" t="s">
        <v>63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3.1640625" customWidth="1"/>
    <col min="8" max="8" width="2.5" bestFit="1" customWidth="1"/>
    <col min="9" max="9" width="75.5" bestFit="1" customWidth="1"/>
  </cols>
  <sheetData>
    <row r="1" spans="1:9" s="24" customFormat="1" ht="21" thickBot="1" x14ac:dyDescent="0.3">
      <c r="A1" s="24" t="s">
        <v>65</v>
      </c>
    </row>
    <row r="2" spans="1:9" ht="16" thickTop="1" x14ac:dyDescent="0.2">
      <c r="A2" s="4"/>
    </row>
    <row r="3" spans="1:9" x14ac:dyDescent="0.2">
      <c r="A3" t="s">
        <v>48</v>
      </c>
      <c r="H3" s="23" t="s">
        <v>68</v>
      </c>
      <c r="I3" s="23"/>
    </row>
    <row r="4" spans="1:9" x14ac:dyDescent="0.2">
      <c r="A4" t="s">
        <v>56</v>
      </c>
      <c r="H4" t="s">
        <v>70</v>
      </c>
      <c r="I4" t="s">
        <v>71</v>
      </c>
    </row>
    <row r="5" spans="1:9" x14ac:dyDescent="0.2">
      <c r="H5" t="s">
        <v>69</v>
      </c>
      <c r="I5" t="s">
        <v>72</v>
      </c>
    </row>
    <row r="6" spans="1:9" x14ac:dyDescent="0.2">
      <c r="A6" t="s">
        <v>50</v>
      </c>
      <c r="B6" t="s">
        <v>59</v>
      </c>
      <c r="H6" s="7" t="s">
        <v>82</v>
      </c>
      <c r="I6" s="5">
        <f>(3.463-3.343)/(0.5*(3.463+3.343))/2</f>
        <v>1.7631501616220999E-2</v>
      </c>
    </row>
    <row r="7" spans="1:9" x14ac:dyDescent="0.2">
      <c r="A7" t="s">
        <v>51</v>
      </c>
      <c r="B7" t="s">
        <v>60</v>
      </c>
      <c r="I7" t="s">
        <v>85</v>
      </c>
    </row>
    <row r="8" spans="1:9" x14ac:dyDescent="0.2">
      <c r="A8" t="s">
        <v>52</v>
      </c>
      <c r="B8" t="s">
        <v>61</v>
      </c>
    </row>
    <row r="9" spans="1:9" x14ac:dyDescent="0.2">
      <c r="A9" t="s">
        <v>53</v>
      </c>
      <c r="B9" t="s">
        <v>62</v>
      </c>
    </row>
    <row r="11" spans="1:9" x14ac:dyDescent="0.2">
      <c r="A11" t="s">
        <v>54</v>
      </c>
      <c r="B11">
        <f>(3.441-3.293)*24/23*23</f>
        <v>3.5519999999999929</v>
      </c>
      <c r="C11" t="s">
        <v>49</v>
      </c>
      <c r="D11" t="s">
        <v>55</v>
      </c>
      <c r="E11" t="s">
        <v>83</v>
      </c>
    </row>
    <row r="12" spans="1:9" x14ac:dyDescent="0.2">
      <c r="A12" t="s">
        <v>57</v>
      </c>
      <c r="B12">
        <v>0</v>
      </c>
      <c r="C12" t="s">
        <v>49</v>
      </c>
    </row>
    <row r="13" spans="1:9" x14ac:dyDescent="0.2">
      <c r="A13" t="s">
        <v>58</v>
      </c>
      <c r="B13">
        <v>0</v>
      </c>
      <c r="C13" t="s">
        <v>49</v>
      </c>
    </row>
    <row r="15" spans="1:9" ht="17" x14ac:dyDescent="0.2">
      <c r="A15" s="3" t="s">
        <v>66</v>
      </c>
    </row>
    <row r="16" spans="1:9" x14ac:dyDescent="0.2">
      <c r="A16" s="3" t="s">
        <v>67</v>
      </c>
    </row>
  </sheetData>
  <mergeCells count="2">
    <mergeCell ref="H3:I3"/>
    <mergeCell ref="A1:XF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2" sqref="A2"/>
    </sheetView>
  </sheetViews>
  <sheetFormatPr baseColWidth="10" defaultColWidth="8.83203125" defaultRowHeight="15" x14ac:dyDescent="0.2"/>
  <sheetData>
    <row r="1" spans="1:1" s="24" customFormat="1" ht="21" thickBot="1" x14ac:dyDescent="0.3">
      <c r="A1" s="24" t="s">
        <v>73</v>
      </c>
    </row>
    <row r="2" spans="1:1" ht="16" thickTop="1" x14ac:dyDescent="0.2"/>
    <row r="3" spans="1:1" x14ac:dyDescent="0.2">
      <c r="A3" t="s">
        <v>92</v>
      </c>
    </row>
    <row r="4" spans="1:1" x14ac:dyDescent="0.2">
      <c r="A4" s="6" t="s">
        <v>74</v>
      </c>
    </row>
    <row r="5" spans="1:1" x14ac:dyDescent="0.2">
      <c r="A5" t="s">
        <v>84</v>
      </c>
    </row>
  </sheetData>
  <mergeCells count="1">
    <mergeCell ref="A1:XFD1"/>
  </mergeCells>
  <hyperlinks>
    <hyperlink ref="A4" r:id="rId1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opLeftCell="A6" workbookViewId="0">
      <selection activeCell="B26" sqref="B26"/>
    </sheetView>
  </sheetViews>
  <sheetFormatPr baseColWidth="10" defaultColWidth="8.83203125" defaultRowHeight="15" x14ac:dyDescent="0.2"/>
  <cols>
    <col min="1" max="1" width="21.5" bestFit="1" customWidth="1"/>
    <col min="2" max="2" width="17.83203125" bestFit="1" customWidth="1"/>
    <col min="3" max="3" width="14.1640625" bestFit="1" customWidth="1"/>
    <col min="4" max="4" width="8.5" bestFit="1" customWidth="1"/>
    <col min="6" max="6" width="12" bestFit="1" customWidth="1"/>
    <col min="8" max="8" width="8.1640625" bestFit="1" customWidth="1"/>
  </cols>
  <sheetData>
    <row r="1" spans="1:6" s="24" customFormat="1" ht="21" thickBot="1" x14ac:dyDescent="0.3">
      <c r="A1" s="24" t="s">
        <v>75</v>
      </c>
    </row>
    <row r="2" spans="1:6" ht="16" thickTop="1" x14ac:dyDescent="0.2">
      <c r="A2" s="4"/>
    </row>
    <row r="3" spans="1:6" x14ac:dyDescent="0.2">
      <c r="A3" s="12" t="s">
        <v>76</v>
      </c>
      <c r="B3">
        <f>0.5+2.365+0.5+0.26+0.28+0.26+1.75</f>
        <v>5.915</v>
      </c>
      <c r="C3" t="s">
        <v>77</v>
      </c>
    </row>
    <row r="4" spans="1:6" x14ac:dyDescent="0.2">
      <c r="A4" s="12" t="s">
        <v>98</v>
      </c>
      <c r="B4">
        <v>0.8</v>
      </c>
    </row>
    <row r="5" spans="1:6" x14ac:dyDescent="0.2">
      <c r="A5" s="12" t="s">
        <v>105</v>
      </c>
      <c r="B5">
        <v>0.34010000000000001</v>
      </c>
    </row>
    <row r="6" spans="1:6" ht="60" x14ac:dyDescent="0.2">
      <c r="A6" s="8" t="s">
        <v>101</v>
      </c>
      <c r="B6" s="8" t="s">
        <v>100</v>
      </c>
      <c r="C6" s="8" t="s">
        <v>99</v>
      </c>
      <c r="D6" s="8" t="s">
        <v>104</v>
      </c>
      <c r="E6" s="8" t="s">
        <v>102</v>
      </c>
      <c r="F6" s="8" t="s">
        <v>103</v>
      </c>
    </row>
    <row r="7" spans="1:6" x14ac:dyDescent="0.2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 t="shared" ref="D7:D15" si="1">-C7*SINH(C7*B$5)</f>
        <v>-0.33311483471319503</v>
      </c>
      <c r="E7" s="11">
        <v>4.9200331508640199E-3</v>
      </c>
      <c r="F7" s="11">
        <f t="shared" ref="F7:F22" si="2">E7^2</f>
        <v>2.4206726205600935E-5</v>
      </c>
    </row>
    <row r="8" spans="1:6" x14ac:dyDescent="0.2">
      <c r="A8" s="9">
        <v>-0.09</v>
      </c>
      <c r="B8" s="10">
        <f t="shared" si="0"/>
        <v>-0.69230769230769229</v>
      </c>
      <c r="C8" s="10">
        <f t="shared" ref="C8:C22" si="3">SQRT(ABS(B8)/B$4)</f>
        <v>0.93026050941906335</v>
      </c>
      <c r="D8" s="10">
        <f t="shared" si="1"/>
        <v>-0.29925200265179647</v>
      </c>
      <c r="E8" s="11">
        <v>4.2512927528120803E-3</v>
      </c>
      <c r="F8" s="11">
        <f t="shared" si="2"/>
        <v>1.8073490070112517E-5</v>
      </c>
    </row>
    <row r="9" spans="1:6" x14ac:dyDescent="0.2">
      <c r="A9" s="9">
        <v>-0.08</v>
      </c>
      <c r="B9" s="10">
        <f t="shared" si="0"/>
        <v>-0.61538461538461542</v>
      </c>
      <c r="C9" s="10">
        <f t="shared" si="3"/>
        <v>0.8770580193070292</v>
      </c>
      <c r="D9" s="10">
        <f t="shared" si="1"/>
        <v>-0.2655122357178093</v>
      </c>
      <c r="E9" s="11">
        <v>3.5861601857807299E-3</v>
      </c>
      <c r="F9" s="11">
        <f t="shared" si="2"/>
        <v>1.2860544878078879E-5</v>
      </c>
    </row>
    <row r="10" spans="1:6" x14ac:dyDescent="0.2">
      <c r="A10" s="9">
        <v>-7.0000000000000007E-2</v>
      </c>
      <c r="B10" s="10">
        <f t="shared" si="0"/>
        <v>-0.53846153846153855</v>
      </c>
      <c r="C10" s="10">
        <f t="shared" si="3"/>
        <v>0.82041265414236697</v>
      </c>
      <c r="D10" s="10">
        <f t="shared" si="1"/>
        <v>-0.23189532982740668</v>
      </c>
      <c r="E10" s="11">
        <v>2.9246200470683598E-3</v>
      </c>
      <c r="F10" s="11">
        <f t="shared" si="2"/>
        <v>8.5534024197141349E-6</v>
      </c>
    </row>
    <row r="11" spans="1:6" x14ac:dyDescent="0.2">
      <c r="A11" s="9">
        <v>-0.06</v>
      </c>
      <c r="B11" s="10">
        <f t="shared" si="0"/>
        <v>-0.46153846153846151</v>
      </c>
      <c r="C11" s="10">
        <f t="shared" si="3"/>
        <v>0.75955452531274992</v>
      </c>
      <c r="D11" s="10">
        <f t="shared" si="1"/>
        <v>-0.19840108111232541</v>
      </c>
      <c r="E11" s="11">
        <v>2.2666692807722598E-3</v>
      </c>
      <c r="F11" s="11">
        <f t="shared" si="2"/>
        <v>5.1377896283966336E-6</v>
      </c>
    </row>
    <row r="12" spans="1:6" x14ac:dyDescent="0.2">
      <c r="A12" s="9">
        <v>-0.05</v>
      </c>
      <c r="B12" s="10">
        <f t="shared" si="0"/>
        <v>-0.38461538461538464</v>
      </c>
      <c r="C12" s="10">
        <f t="shared" si="3"/>
        <v>0.69337524528153638</v>
      </c>
      <c r="D12" s="10">
        <f t="shared" si="1"/>
        <v>-0.16502928591969981</v>
      </c>
      <c r="E12" s="11">
        <v>1.6122928463584501E-3</v>
      </c>
      <c r="F12" s="11">
        <f t="shared" si="2"/>
        <v>2.5994882224186326E-6</v>
      </c>
    </row>
    <row r="13" spans="1:6" x14ac:dyDescent="0.2">
      <c r="A13" s="9">
        <v>-3.9999999999999897E-2</v>
      </c>
      <c r="B13" s="10">
        <f t="shared" si="0"/>
        <v>-0.30769230769230688</v>
      </c>
      <c r="C13" s="10">
        <f t="shared" si="3"/>
        <v>0.62017367294604142</v>
      </c>
      <c r="D13" s="10">
        <f t="shared" si="1"/>
        <v>-0.131779740811895</v>
      </c>
      <c r="E13" s="11">
        <v>9.6148136557953402E-4</v>
      </c>
      <c r="F13" s="11">
        <f t="shared" si="2"/>
        <v>9.2444641635668559E-7</v>
      </c>
    </row>
    <row r="14" spans="1:6" x14ac:dyDescent="0.2">
      <c r="A14" s="9">
        <v>-2.9999999999999898E-2</v>
      </c>
      <c r="B14" s="10">
        <f t="shared" si="0"/>
        <v>-0.23076923076922998</v>
      </c>
      <c r="C14" s="10">
        <f t="shared" si="3"/>
        <v>0.53708615552957373</v>
      </c>
      <c r="D14" s="10">
        <f t="shared" si="1"/>
        <v>-9.8652242566342502E-2</v>
      </c>
      <c r="E14" s="21">
        <v>6.2389924446269599E-4</v>
      </c>
      <c r="F14" s="11">
        <f t="shared" si="2"/>
        <v>3.8925026724112289E-7</v>
      </c>
    </row>
    <row r="15" spans="1:6" x14ac:dyDescent="0.2">
      <c r="A15" s="9">
        <v>-1.99999999999999E-2</v>
      </c>
      <c r="B15" s="10">
        <f t="shared" si="0"/>
        <v>-0.15384615384615308</v>
      </c>
      <c r="C15" s="10">
        <f t="shared" si="3"/>
        <v>0.43852900965351349</v>
      </c>
      <c r="D15" s="10">
        <f t="shared" si="1"/>
        <v>-6.5646588175372042E-2</v>
      </c>
      <c r="E15" s="11">
        <v>9.0928207358094903E-4</v>
      </c>
      <c r="F15" s="11">
        <f t="shared" si="2"/>
        <v>8.267938893356704E-7</v>
      </c>
    </row>
    <row r="16" spans="1:6" x14ac:dyDescent="0.2">
      <c r="A16" s="9">
        <v>-9.99999999999991E-3</v>
      </c>
      <c r="B16" s="10">
        <f t="shared" si="0"/>
        <v>-7.6923076923076233E-2</v>
      </c>
      <c r="C16" s="10">
        <f t="shared" si="3"/>
        <v>0.31008683647301977</v>
      </c>
      <c r="D16" s="10">
        <f>-C16*SINH(C16*B$5)</f>
        <v>-3.2762574846047332E-2</v>
      </c>
      <c r="E16" s="11">
        <v>1.19307162081399E-3</v>
      </c>
      <c r="F16" s="11">
        <f t="shared" si="2"/>
        <v>1.4234198923917211E-6</v>
      </c>
    </row>
    <row r="17" spans="1:10" x14ac:dyDescent="0.2">
      <c r="A17" s="9">
        <v>1E-3</v>
      </c>
      <c r="B17" s="10">
        <f t="shared" si="0"/>
        <v>7.6923076923076919E-3</v>
      </c>
      <c r="C17" s="10">
        <f t="shared" si="3"/>
        <v>9.8058067569092008E-2</v>
      </c>
      <c r="D17" s="10">
        <f t="shared" ref="D17:D21" si="4">C17*SINH(C17*B$5)</f>
        <v>3.2707985219099563E-3</v>
      </c>
      <c r="E17" s="11">
        <v>1.6698024153945399E-3</v>
      </c>
      <c r="F17" s="11">
        <f t="shared" si="2"/>
        <v>2.7882401064574396E-6</v>
      </c>
    </row>
    <row r="18" spans="1:10" x14ac:dyDescent="0.2">
      <c r="A18" s="9">
        <v>0.01</v>
      </c>
      <c r="B18" s="10">
        <f t="shared" si="0"/>
        <v>7.6923076923076927E-2</v>
      </c>
      <c r="C18" s="10">
        <f t="shared" si="3"/>
        <v>0.31008683647302115</v>
      </c>
      <c r="D18" s="10">
        <f t="shared" si="4"/>
        <v>3.2762574846047623E-2</v>
      </c>
      <c r="E18" s="11">
        <v>2.2394696094846199E-3</v>
      </c>
      <c r="F18" s="11">
        <f t="shared" si="2"/>
        <v>5.0152241318051957E-6</v>
      </c>
    </row>
    <row r="19" spans="1:10" x14ac:dyDescent="0.2">
      <c r="A19" s="9">
        <v>0.02</v>
      </c>
      <c r="B19" s="10">
        <f t="shared" si="0"/>
        <v>0.15384615384615385</v>
      </c>
      <c r="C19" s="10">
        <f t="shared" si="3"/>
        <v>0.4385290096535146</v>
      </c>
      <c r="D19" s="10">
        <f t="shared" si="4"/>
        <v>6.5646588175372375E-2</v>
      </c>
      <c r="E19" s="11">
        <v>2.8691051558586999E-3</v>
      </c>
      <c r="F19" s="11">
        <f t="shared" si="2"/>
        <v>8.2317643953749741E-6</v>
      </c>
    </row>
    <row r="20" spans="1:10" x14ac:dyDescent="0.2">
      <c r="A20" s="9">
        <v>0.03</v>
      </c>
      <c r="B20" s="10">
        <f t="shared" si="0"/>
        <v>0.23076923076923075</v>
      </c>
      <c r="C20" s="10">
        <f t="shared" si="3"/>
        <v>0.53708615552957462</v>
      </c>
      <c r="D20" s="10">
        <f t="shared" si="4"/>
        <v>9.8652242566342821E-2</v>
      </c>
      <c r="E20" s="11">
        <v>3.4952662027439799E-3</v>
      </c>
      <c r="F20" s="11">
        <f t="shared" si="2"/>
        <v>1.2216885828044321E-5</v>
      </c>
    </row>
    <row r="21" spans="1:10" x14ac:dyDescent="0.2">
      <c r="A21" s="9">
        <v>0.04</v>
      </c>
      <c r="B21" s="10">
        <f t="shared" si="0"/>
        <v>0.30769230769230771</v>
      </c>
      <c r="C21" s="10">
        <f t="shared" si="3"/>
        <v>0.62017367294604231</v>
      </c>
      <c r="D21" s="10">
        <f t="shared" si="4"/>
        <v>0.13177974081189536</v>
      </c>
      <c r="E21" s="11">
        <v>4.1179326519645999E-3</v>
      </c>
      <c r="F21" s="11">
        <f t="shared" si="2"/>
        <v>1.6957369326116202E-5</v>
      </c>
    </row>
    <row r="22" spans="1:10" x14ac:dyDescent="0.2">
      <c r="A22" s="9">
        <v>0.05</v>
      </c>
      <c r="B22" s="10">
        <f t="shared" si="0"/>
        <v>0.38461538461538464</v>
      </c>
      <c r="C22" s="10">
        <f t="shared" si="3"/>
        <v>0.69337524528153638</v>
      </c>
      <c r="D22" s="10">
        <f>C22*SINH(C22*B$5)</f>
        <v>0.16502928591969981</v>
      </c>
      <c r="E22" s="11">
        <v>4.7371257726572897E-3</v>
      </c>
      <c r="F22" s="11">
        <f t="shared" si="2"/>
        <v>2.2440360585973924E-5</v>
      </c>
    </row>
    <row r="24" spans="1:10" x14ac:dyDescent="0.2">
      <c r="A24" s="4" t="s">
        <v>86</v>
      </c>
    </row>
    <row r="25" spans="1:10" ht="17" x14ac:dyDescent="0.25">
      <c r="A25" s="12" t="s">
        <v>78</v>
      </c>
      <c r="B25" s="1">
        <f>INDEX(LINEST($F$7:$F$22,$D$7:$D$22^{1,2}),1)</f>
        <v>3.7129243755021167E-4</v>
      </c>
      <c r="C25" s="1"/>
      <c r="D25" s="1"/>
      <c r="F25" s="12" t="s">
        <v>81</v>
      </c>
      <c r="G25" s="1">
        <f>B25</f>
        <v>3.7129243755021167E-4</v>
      </c>
      <c r="I25" s="18" t="s">
        <v>90</v>
      </c>
      <c r="J25" s="17">
        <f>SQRT(G25*G27)/B3^2</f>
        <v>2.6825052741286524E-7</v>
      </c>
    </row>
    <row r="26" spans="1:10" ht="17" x14ac:dyDescent="0.25">
      <c r="A26" s="13" t="s">
        <v>89</v>
      </c>
      <c r="B26" s="1">
        <f>INDEX(LINEST($F$7:$F$22,$D$7:$D$22^{1,2}),1,2)</f>
        <v>5.9844957589776386E-5</v>
      </c>
      <c r="C26" s="1"/>
      <c r="D26" s="1"/>
      <c r="F26" s="12" t="s">
        <v>79</v>
      </c>
      <c r="G26" s="1">
        <f>B26/(-2*G25)</f>
        <v>-8.0590057239831689E-2</v>
      </c>
      <c r="I26" s="18" t="s">
        <v>91</v>
      </c>
      <c r="J26" s="17">
        <f>PI()*0.001*0.0002</f>
        <v>6.2831853071795864E-7</v>
      </c>
    </row>
    <row r="27" spans="1:10" ht="17" x14ac:dyDescent="0.2">
      <c r="A27" s="12" t="s">
        <v>87</v>
      </c>
      <c r="B27" s="1">
        <f>INDEX(LINEST($F$7:$F$22,$D$7:$D$22^{1,2}),1,3)</f>
        <v>2.648692173472907E-6</v>
      </c>
      <c r="C27" s="1"/>
      <c r="D27" s="1"/>
      <c r="F27" s="12" t="s">
        <v>80</v>
      </c>
      <c r="G27" s="1">
        <f>B27-G25*G26^2</f>
        <v>2.372378946352176E-7</v>
      </c>
      <c r="I27" s="18" t="s">
        <v>88</v>
      </c>
      <c r="J27" s="19">
        <f>J25/J26</f>
        <v>0.42693397424765478</v>
      </c>
    </row>
    <row r="28" spans="1:10" x14ac:dyDescent="0.2">
      <c r="F28" s="1"/>
    </row>
    <row r="29" spans="1:10" ht="17" x14ac:dyDescent="0.25">
      <c r="F29" s="20" t="s">
        <v>95</v>
      </c>
      <c r="G29" s="1">
        <f>G25/B3^2</f>
        <v>1.0612228822097542E-5</v>
      </c>
      <c r="I29" s="14" t="s">
        <v>94</v>
      </c>
      <c r="J29" s="15">
        <f>SQRT(G29*G31-G30^2)</f>
        <v>2.6825052741286508E-7</v>
      </c>
    </row>
    <row r="30" spans="1:10" ht="17" x14ac:dyDescent="0.25">
      <c r="F30" s="20" t="s">
        <v>96</v>
      </c>
      <c r="G30" s="1">
        <f>-(G25/B3^2)*(1/B3+G26)</f>
        <v>-9.3888139707618329E-7</v>
      </c>
    </row>
    <row r="31" spans="1:10" ht="17" x14ac:dyDescent="0.25">
      <c r="F31" s="20" t="s">
        <v>97</v>
      </c>
      <c r="G31" s="1">
        <f>(1/B3^2)*(G25*G26^2+G27+2*G25*G26/B3+G25/B3^2)</f>
        <v>8.9845087136422312E-8</v>
      </c>
    </row>
    <row r="32" spans="1:10" x14ac:dyDescent="0.2">
      <c r="D32" s="1"/>
    </row>
    <row r="33" spans="3:4" x14ac:dyDescent="0.2">
      <c r="C33" s="1"/>
      <c r="D33" s="1"/>
    </row>
    <row r="34" spans="3:4" x14ac:dyDescent="0.2">
      <c r="C34" s="1"/>
      <c r="D34" s="1"/>
    </row>
    <row r="35" spans="3:4" x14ac:dyDescent="0.2">
      <c r="C35" s="1"/>
      <c r="D35" s="1"/>
    </row>
    <row r="36" spans="3:4" x14ac:dyDescent="0.2">
      <c r="C36" s="1"/>
      <c r="D36" s="1"/>
    </row>
    <row r="37" spans="3:4" x14ac:dyDescent="0.2">
      <c r="C37" s="1"/>
      <c r="D37" s="1"/>
    </row>
    <row r="38" spans="3:4" x14ac:dyDescent="0.2">
      <c r="C38" s="1"/>
      <c r="D38" s="1"/>
    </row>
  </sheetData>
  <sortState ref="A5:D21">
    <sortCondition ref="A5"/>
  </sortState>
  <mergeCells count="1">
    <mergeCell ref="A1:XF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workbookViewId="0">
      <selection activeCell="P26" sqref="P26"/>
    </sheetView>
  </sheetViews>
  <sheetFormatPr baseColWidth="10" defaultColWidth="8.83203125" defaultRowHeight="15" x14ac:dyDescent="0.2"/>
  <cols>
    <col min="1" max="1" width="21.5" bestFit="1" customWidth="1"/>
    <col min="2" max="2" width="17.83203125" bestFit="1" customWidth="1"/>
    <col min="3" max="3" width="14.1640625" bestFit="1" customWidth="1"/>
    <col min="4" max="4" width="8.5" bestFit="1" customWidth="1"/>
    <col min="6" max="6" width="12" bestFit="1" customWidth="1"/>
    <col min="8" max="8" width="8.1640625" bestFit="1" customWidth="1"/>
  </cols>
  <sheetData>
    <row r="1" spans="1:9" s="24" customFormat="1" ht="21" thickBot="1" x14ac:dyDescent="0.3">
      <c r="A1" s="24" t="s">
        <v>75</v>
      </c>
    </row>
    <row r="2" spans="1:9" ht="16" thickTop="1" x14ac:dyDescent="0.2">
      <c r="A2" s="4"/>
    </row>
    <row r="3" spans="1:9" x14ac:dyDescent="0.2">
      <c r="A3" s="12" t="s">
        <v>76</v>
      </c>
      <c r="B3">
        <f>0.5+2.365+0.5+0.26+0.28+0.26+1.75</f>
        <v>5.915</v>
      </c>
      <c r="C3" t="s">
        <v>77</v>
      </c>
    </row>
    <row r="4" spans="1:9" x14ac:dyDescent="0.2">
      <c r="A4" s="12" t="s">
        <v>98</v>
      </c>
      <c r="B4">
        <v>0.8</v>
      </c>
    </row>
    <row r="5" spans="1:9" x14ac:dyDescent="0.2">
      <c r="A5" s="12" t="s">
        <v>105</v>
      </c>
      <c r="B5">
        <v>0.34010000000000001</v>
      </c>
    </row>
    <row r="6" spans="1:9" ht="60" x14ac:dyDescent="0.2">
      <c r="A6" s="8" t="s">
        <v>101</v>
      </c>
      <c r="B6" s="8" t="s">
        <v>100</v>
      </c>
      <c r="C6" s="8" t="s">
        <v>99</v>
      </c>
      <c r="D6" s="8" t="s">
        <v>108</v>
      </c>
      <c r="E6" s="8" t="s">
        <v>106</v>
      </c>
      <c r="F6" s="8" t="s">
        <v>107</v>
      </c>
      <c r="G6" s="8" t="s">
        <v>104</v>
      </c>
      <c r="H6" s="8" t="s">
        <v>102</v>
      </c>
      <c r="I6" s="8" t="s">
        <v>103</v>
      </c>
    </row>
    <row r="7" spans="1:9" x14ac:dyDescent="0.2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>COSH(C7*B$5)</f>
        <v>1.0561269397332118</v>
      </c>
      <c r="E7" s="10">
        <f>C7*SINH(C7*B$5)</f>
        <v>0.33311483471319503</v>
      </c>
      <c r="F7" s="10">
        <f t="shared" ref="F7:F22" si="1">1/C7*SINH(C7*B$5)</f>
        <v>0.34643942810172279</v>
      </c>
      <c r="G7" s="10">
        <f t="shared" ref="G7:G16" si="2">-C7*SINH(C7*B$5)</f>
        <v>-0.33311483471319503</v>
      </c>
      <c r="H7" s="11">
        <v>4.9200331508640199E-3</v>
      </c>
      <c r="I7" s="11">
        <f t="shared" ref="I7:I22" si="3">H7^2</f>
        <v>2.4206726205600935E-5</v>
      </c>
    </row>
    <row r="8" spans="1:9" x14ac:dyDescent="0.2">
      <c r="A8" s="9">
        <v>-0.09</v>
      </c>
      <c r="B8" s="10">
        <f t="shared" si="0"/>
        <v>-0.69230769230769229</v>
      </c>
      <c r="C8" s="10">
        <f t="shared" ref="C8:C22" si="4">SQRT(ABS(B8)/B$4)</f>
        <v>0.93026050941906335</v>
      </c>
      <c r="D8" s="10">
        <f t="shared" ref="D8:D22" si="5">COSH(C8*B$5)</f>
        <v>1.0504675316441803</v>
      </c>
      <c r="E8" s="10">
        <f t="shared" ref="E8:E22" si="6">C8*SINH(C8*B$5)</f>
        <v>0.29925200265179647</v>
      </c>
      <c r="F8" s="10">
        <f t="shared" si="1"/>
        <v>0.34580231417540935</v>
      </c>
      <c r="G8" s="10">
        <f t="shared" si="2"/>
        <v>-0.29925200265179647</v>
      </c>
      <c r="H8" s="11">
        <v>4.2512927528120803E-3</v>
      </c>
      <c r="I8" s="11">
        <f t="shared" si="3"/>
        <v>1.8073490070112517E-5</v>
      </c>
    </row>
    <row r="9" spans="1:9" x14ac:dyDescent="0.2">
      <c r="A9" s="9">
        <v>-0.08</v>
      </c>
      <c r="B9" s="10">
        <f t="shared" si="0"/>
        <v>-0.61538461538461542</v>
      </c>
      <c r="C9" s="10">
        <f t="shared" si="4"/>
        <v>0.8770580193070292</v>
      </c>
      <c r="D9" s="10">
        <f t="shared" si="5"/>
        <v>1.0448185352062962</v>
      </c>
      <c r="E9" s="10">
        <f t="shared" si="6"/>
        <v>0.2655122357178093</v>
      </c>
      <c r="F9" s="10">
        <f t="shared" si="1"/>
        <v>0.34516590643315215</v>
      </c>
      <c r="G9" s="10">
        <f t="shared" si="2"/>
        <v>-0.2655122357178093</v>
      </c>
      <c r="H9" s="11">
        <v>3.5861601857807299E-3</v>
      </c>
      <c r="I9" s="11">
        <f t="shared" si="3"/>
        <v>1.2860544878078879E-5</v>
      </c>
    </row>
    <row r="10" spans="1:9" x14ac:dyDescent="0.2">
      <c r="A10" s="9">
        <v>-7.0000000000000007E-2</v>
      </c>
      <c r="B10" s="10">
        <f t="shared" si="0"/>
        <v>-0.53846153846153855</v>
      </c>
      <c r="C10" s="10">
        <f t="shared" si="4"/>
        <v>0.82041265414236697</v>
      </c>
      <c r="D10" s="10">
        <f t="shared" si="5"/>
        <v>1.0391799388773495</v>
      </c>
      <c r="E10" s="10">
        <f t="shared" si="6"/>
        <v>0.23189532982740668</v>
      </c>
      <c r="F10" s="10">
        <f t="shared" si="1"/>
        <v>0.3445302043150042</v>
      </c>
      <c r="G10" s="10">
        <f t="shared" si="2"/>
        <v>-0.23189532982740668</v>
      </c>
      <c r="H10" s="11">
        <v>2.9246200470683598E-3</v>
      </c>
      <c r="I10" s="11">
        <f t="shared" si="3"/>
        <v>8.5534024197141349E-6</v>
      </c>
    </row>
    <row r="11" spans="1:9" x14ac:dyDescent="0.2">
      <c r="A11" s="9">
        <v>-0.06</v>
      </c>
      <c r="B11" s="10">
        <f t="shared" si="0"/>
        <v>-0.46153846153846151</v>
      </c>
      <c r="C11" s="10">
        <f t="shared" si="4"/>
        <v>0.75955452531274992</v>
      </c>
      <c r="D11" s="10">
        <f t="shared" si="5"/>
        <v>1.0335517311242828</v>
      </c>
      <c r="E11" s="10">
        <f t="shared" si="6"/>
        <v>0.19840108111232541</v>
      </c>
      <c r="F11" s="10">
        <f t="shared" si="1"/>
        <v>0.34389520726136408</v>
      </c>
      <c r="G11" s="10">
        <f t="shared" si="2"/>
        <v>-0.19840108111232541</v>
      </c>
      <c r="H11" s="11">
        <v>2.2666692807722598E-3</v>
      </c>
      <c r="I11" s="11">
        <f t="shared" si="3"/>
        <v>5.1377896283966336E-6</v>
      </c>
    </row>
    <row r="12" spans="1:9" x14ac:dyDescent="0.2">
      <c r="A12" s="9">
        <v>-0.05</v>
      </c>
      <c r="B12" s="10">
        <f t="shared" si="0"/>
        <v>-0.38461538461538464</v>
      </c>
      <c r="C12" s="10">
        <f t="shared" si="4"/>
        <v>0.69337524528153638</v>
      </c>
      <c r="D12" s="10">
        <f t="shared" si="5"/>
        <v>1.0279339004231864</v>
      </c>
      <c r="E12" s="10">
        <f t="shared" si="6"/>
        <v>0.16502928591969981</v>
      </c>
      <c r="F12" s="10">
        <f t="shared" si="1"/>
        <v>0.34326091471297565</v>
      </c>
      <c r="G12" s="10">
        <f t="shared" si="2"/>
        <v>-0.16502928591969981</v>
      </c>
      <c r="H12" s="11">
        <v>1.6122928463584501E-3</v>
      </c>
      <c r="I12" s="11">
        <f t="shared" si="3"/>
        <v>2.5994882224186326E-6</v>
      </c>
    </row>
    <row r="13" spans="1:9" x14ac:dyDescent="0.2">
      <c r="A13" s="9">
        <v>-3.9999999999999897E-2</v>
      </c>
      <c r="B13" s="10">
        <f t="shared" si="0"/>
        <v>-0.30769230769230688</v>
      </c>
      <c r="C13" s="10">
        <f t="shared" si="4"/>
        <v>0.62017367294604142</v>
      </c>
      <c r="D13" s="10">
        <f t="shared" si="5"/>
        <v>1.0223264352592918</v>
      </c>
      <c r="E13" s="10">
        <f t="shared" si="6"/>
        <v>0.131779740811895</v>
      </c>
      <c r="F13" s="10">
        <f t="shared" si="1"/>
        <v>0.342627326110928</v>
      </c>
      <c r="G13" s="10">
        <f t="shared" si="2"/>
        <v>-0.131779740811895</v>
      </c>
      <c r="H13" s="11">
        <v>9.6148136557953402E-4</v>
      </c>
      <c r="I13" s="11">
        <f t="shared" si="3"/>
        <v>9.2444641635668559E-7</v>
      </c>
    </row>
    <row r="14" spans="1:9" x14ac:dyDescent="0.2">
      <c r="A14" s="9">
        <v>-2.9999999999999898E-2</v>
      </c>
      <c r="B14" s="10">
        <f t="shared" si="0"/>
        <v>-0.23076923076922998</v>
      </c>
      <c r="C14" s="10">
        <f t="shared" si="4"/>
        <v>0.53708615552957373</v>
      </c>
      <c r="D14" s="10">
        <f t="shared" si="5"/>
        <v>1.0167293241269661</v>
      </c>
      <c r="E14" s="10">
        <f t="shared" si="6"/>
        <v>9.8652242566342502E-2</v>
      </c>
      <c r="F14" s="10">
        <f t="shared" si="1"/>
        <v>0.34199444089665521</v>
      </c>
      <c r="G14" s="10">
        <f t="shared" si="2"/>
        <v>-9.8652242566342502E-2</v>
      </c>
      <c r="H14" s="21">
        <v>6.2389924446269599E-4</v>
      </c>
      <c r="I14" s="11">
        <f t="shared" si="3"/>
        <v>3.8925026724112289E-7</v>
      </c>
    </row>
    <row r="15" spans="1:9" x14ac:dyDescent="0.2">
      <c r="A15" s="9">
        <v>-1.99999999999999E-2</v>
      </c>
      <c r="B15" s="10">
        <f t="shared" si="0"/>
        <v>-0.15384615384615308</v>
      </c>
      <c r="C15" s="10">
        <f t="shared" si="4"/>
        <v>0.43852900965351349</v>
      </c>
      <c r="D15" s="10">
        <f t="shared" si="5"/>
        <v>1.0111425555297078</v>
      </c>
      <c r="E15" s="10">
        <f t="shared" si="6"/>
        <v>6.5646588175372042E-2</v>
      </c>
      <c r="F15" s="10">
        <f t="shared" si="1"/>
        <v>0.34136225851193636</v>
      </c>
      <c r="G15" s="10">
        <f t="shared" si="2"/>
        <v>-6.5646588175372042E-2</v>
      </c>
      <c r="H15" s="11">
        <v>9.0928207358094903E-4</v>
      </c>
      <c r="I15" s="11">
        <f t="shared" si="3"/>
        <v>8.267938893356704E-7</v>
      </c>
    </row>
    <row r="16" spans="1:9" x14ac:dyDescent="0.2">
      <c r="A16" s="9">
        <v>-9.99999999999991E-3</v>
      </c>
      <c r="B16" s="10">
        <f t="shared" si="0"/>
        <v>-7.6923076923076233E-2</v>
      </c>
      <c r="C16" s="10">
        <f t="shared" si="4"/>
        <v>0.31008683647301977</v>
      </c>
      <c r="D16" s="10">
        <f t="shared" si="5"/>
        <v>1.0055661179801385</v>
      </c>
      <c r="E16" s="10">
        <f t="shared" si="6"/>
        <v>3.2762574846047332E-2</v>
      </c>
      <c r="F16" s="10">
        <f t="shared" si="1"/>
        <v>0.34073077839889526</v>
      </c>
      <c r="G16" s="10">
        <f t="shared" si="2"/>
        <v>-3.2762574846047332E-2</v>
      </c>
      <c r="H16" s="11">
        <v>1.19307162081399E-3</v>
      </c>
      <c r="I16" s="11">
        <f t="shared" si="3"/>
        <v>1.4234198923917211E-6</v>
      </c>
    </row>
    <row r="17" spans="1:13" x14ac:dyDescent="0.2">
      <c r="A17" s="9">
        <v>1E-3</v>
      </c>
      <c r="B17" s="10">
        <f t="shared" si="0"/>
        <v>7.6923076923076919E-3</v>
      </c>
      <c r="C17" s="10">
        <f t="shared" si="4"/>
        <v>9.8058067569092008E-2</v>
      </c>
      <c r="D17" s="10">
        <f t="shared" si="5"/>
        <v>1.0005561477443314</v>
      </c>
      <c r="E17" s="10">
        <f t="shared" si="6"/>
        <v>3.2707985219099563E-3</v>
      </c>
      <c r="F17" s="10">
        <f t="shared" si="1"/>
        <v>0.34016304627863553</v>
      </c>
      <c r="G17" s="10">
        <f t="shared" ref="G17:G21" si="7">C17*SINH(C17*B$5)</f>
        <v>3.2707985219099563E-3</v>
      </c>
      <c r="H17" s="11">
        <v>1.6698024153945399E-3</v>
      </c>
      <c r="I17" s="11">
        <f t="shared" si="3"/>
        <v>2.7882401064574396E-6</v>
      </c>
    </row>
    <row r="18" spans="1:13" x14ac:dyDescent="0.2">
      <c r="A18" s="9">
        <v>0.01</v>
      </c>
      <c r="B18" s="10">
        <f t="shared" si="0"/>
        <v>7.6923076923076927E-2</v>
      </c>
      <c r="C18" s="10">
        <f t="shared" si="4"/>
        <v>0.31008683647302115</v>
      </c>
      <c r="D18" s="10">
        <f t="shared" si="5"/>
        <v>1.0055661179801385</v>
      </c>
      <c r="E18" s="10">
        <f t="shared" si="6"/>
        <v>3.2762574846047623E-2</v>
      </c>
      <c r="F18" s="10">
        <f t="shared" si="1"/>
        <v>0.34073077839889526</v>
      </c>
      <c r="G18" s="10">
        <f t="shared" si="7"/>
        <v>3.2762574846047623E-2</v>
      </c>
      <c r="H18" s="11">
        <v>2.2394696094846199E-3</v>
      </c>
      <c r="I18" s="11">
        <f t="shared" si="3"/>
        <v>5.0152241318051957E-6</v>
      </c>
    </row>
    <row r="19" spans="1:13" x14ac:dyDescent="0.2">
      <c r="A19" s="9">
        <v>0.02</v>
      </c>
      <c r="B19" s="10">
        <f t="shared" si="0"/>
        <v>0.15384615384615385</v>
      </c>
      <c r="C19" s="10">
        <f t="shared" si="4"/>
        <v>0.4385290096535146</v>
      </c>
      <c r="D19" s="10">
        <f t="shared" si="5"/>
        <v>1.0111425555297078</v>
      </c>
      <c r="E19" s="10">
        <f t="shared" si="6"/>
        <v>6.5646588175372375E-2</v>
      </c>
      <c r="F19" s="10">
        <f t="shared" si="1"/>
        <v>0.34136225851193641</v>
      </c>
      <c r="G19" s="10">
        <f t="shared" si="7"/>
        <v>6.5646588175372375E-2</v>
      </c>
      <c r="H19" s="11">
        <v>2.8691051558586999E-3</v>
      </c>
      <c r="I19" s="11">
        <f t="shared" si="3"/>
        <v>8.2317643953749741E-6</v>
      </c>
    </row>
    <row r="20" spans="1:13" x14ac:dyDescent="0.2">
      <c r="A20" s="9">
        <v>0.03</v>
      </c>
      <c r="B20" s="10">
        <f t="shared" si="0"/>
        <v>0.23076923076923075</v>
      </c>
      <c r="C20" s="10">
        <f t="shared" si="4"/>
        <v>0.53708615552957462</v>
      </c>
      <c r="D20" s="10">
        <f t="shared" si="5"/>
        <v>1.0167293241269664</v>
      </c>
      <c r="E20" s="10">
        <f t="shared" si="6"/>
        <v>9.8652242566342821E-2</v>
      </c>
      <c r="F20" s="10">
        <f t="shared" si="1"/>
        <v>0.34199444089665521</v>
      </c>
      <c r="G20" s="10">
        <f t="shared" si="7"/>
        <v>9.8652242566342821E-2</v>
      </c>
      <c r="H20" s="11">
        <v>3.4952662027439799E-3</v>
      </c>
      <c r="I20" s="11">
        <f t="shared" si="3"/>
        <v>1.2216885828044321E-5</v>
      </c>
    </row>
    <row r="21" spans="1:13" x14ac:dyDescent="0.2">
      <c r="A21" s="9">
        <v>0.04</v>
      </c>
      <c r="B21" s="10">
        <f t="shared" si="0"/>
        <v>0.30769230769230771</v>
      </c>
      <c r="C21" s="10">
        <f t="shared" si="4"/>
        <v>0.62017367294604231</v>
      </c>
      <c r="D21" s="10">
        <f t="shared" si="5"/>
        <v>1.0223264352592918</v>
      </c>
      <c r="E21" s="10">
        <f t="shared" si="6"/>
        <v>0.13177974081189536</v>
      </c>
      <c r="F21" s="10">
        <f t="shared" si="1"/>
        <v>0.34262732611092789</v>
      </c>
      <c r="G21" s="10">
        <f t="shared" si="7"/>
        <v>0.13177974081189536</v>
      </c>
      <c r="H21" s="11">
        <v>4.1179326519645999E-3</v>
      </c>
      <c r="I21" s="11">
        <f t="shared" si="3"/>
        <v>1.6957369326116202E-5</v>
      </c>
    </row>
    <row r="22" spans="1:13" x14ac:dyDescent="0.2">
      <c r="A22" s="9">
        <v>0.05</v>
      </c>
      <c r="B22" s="10">
        <f t="shared" si="0"/>
        <v>0.38461538461538464</v>
      </c>
      <c r="C22" s="10">
        <f t="shared" si="4"/>
        <v>0.69337524528153638</v>
      </c>
      <c r="D22" s="10">
        <f t="shared" si="5"/>
        <v>1.0279339004231864</v>
      </c>
      <c r="E22" s="10">
        <f t="shared" si="6"/>
        <v>0.16502928591969981</v>
      </c>
      <c r="F22" s="10">
        <f t="shared" si="1"/>
        <v>0.34326091471297565</v>
      </c>
      <c r="G22" s="10">
        <f>C22*SINH(C22*B$5)</f>
        <v>0.16502928591969981</v>
      </c>
      <c r="H22" s="11">
        <v>4.7371257726572897E-3</v>
      </c>
      <c r="I22" s="11">
        <f t="shared" si="3"/>
        <v>2.2440360585973924E-5</v>
      </c>
    </row>
    <row r="24" spans="1:13" x14ac:dyDescent="0.2">
      <c r="A24" s="4" t="s">
        <v>86</v>
      </c>
    </row>
    <row r="25" spans="1:13" ht="17" x14ac:dyDescent="0.25">
      <c r="A25" s="12" t="s">
        <v>78</v>
      </c>
      <c r="B25" s="1">
        <f>INDEX(LINEST($I$7:$I$22,$G$7:$G$22^{1,2}),1)</f>
        <v>3.7129243755021167E-4</v>
      </c>
      <c r="C25" s="1"/>
      <c r="D25" s="1"/>
      <c r="E25" s="1"/>
      <c r="F25" s="1"/>
      <c r="G25" s="1"/>
      <c r="I25" s="12" t="s">
        <v>81</v>
      </c>
      <c r="J25" s="1">
        <f>B25</f>
        <v>3.7129243755021167E-4</v>
      </c>
      <c r="L25" s="18" t="s">
        <v>90</v>
      </c>
      <c r="M25" s="17">
        <f>SQRT(J25*J27)/B3^2</f>
        <v>2.6825052741286524E-7</v>
      </c>
    </row>
    <row r="26" spans="1:13" ht="17" x14ac:dyDescent="0.25">
      <c r="A26" s="13" t="s">
        <v>89</v>
      </c>
      <c r="B26" s="1">
        <f>INDEX(LINEST($I$7:$I$22,$G$7:$G$22^{1,2}),1,2)</f>
        <v>5.9844957589776386E-5</v>
      </c>
      <c r="C26" s="1"/>
      <c r="D26" s="1"/>
      <c r="E26" s="1"/>
      <c r="F26" s="1"/>
      <c r="G26" s="1"/>
      <c r="I26" s="12" t="s">
        <v>79</v>
      </c>
      <c r="J26" s="1">
        <f>B26/(-2*J25)</f>
        <v>-8.0590057239831689E-2</v>
      </c>
      <c r="L26" s="18" t="s">
        <v>91</v>
      </c>
      <c r="M26" s="17">
        <f>PI()*0.001*0.0002</f>
        <v>6.2831853071795864E-7</v>
      </c>
    </row>
    <row r="27" spans="1:13" ht="17" x14ac:dyDescent="0.2">
      <c r="A27" s="12" t="s">
        <v>87</v>
      </c>
      <c r="B27" s="1">
        <f>INDEX(LINEST($I$7:$I$22,$G$7:$G$22^{1,2}),1,3)</f>
        <v>2.648692173472907E-6</v>
      </c>
      <c r="C27" s="1"/>
      <c r="D27" s="1"/>
      <c r="E27" s="1"/>
      <c r="F27" s="1"/>
      <c r="G27" s="1"/>
      <c r="I27" s="12" t="s">
        <v>80</v>
      </c>
      <c r="J27" s="1">
        <f>B27-J25*J26^2</f>
        <v>2.372378946352176E-7</v>
      </c>
      <c r="L27" s="18" t="s">
        <v>88</v>
      </c>
      <c r="M27" s="19">
        <f>M25/M26</f>
        <v>0.42693397424765478</v>
      </c>
    </row>
    <row r="28" spans="1:13" x14ac:dyDescent="0.2">
      <c r="I28" s="1"/>
    </row>
    <row r="29" spans="1:13" ht="17" x14ac:dyDescent="0.25">
      <c r="I29" s="20" t="s">
        <v>95</v>
      </c>
      <c r="J29" s="1">
        <f>J25/B3^2</f>
        <v>1.0612228822097542E-5</v>
      </c>
      <c r="L29" s="14" t="s">
        <v>94</v>
      </c>
      <c r="M29" s="15">
        <f>SQRT(J29*J31-J30^2)</f>
        <v>2.6825052741286508E-7</v>
      </c>
    </row>
    <row r="30" spans="1:13" ht="17" x14ac:dyDescent="0.25">
      <c r="I30" s="20" t="s">
        <v>96</v>
      </c>
      <c r="J30" s="1">
        <f>-(J25/B3^2)*(1/B3+J26)</f>
        <v>-9.3888139707618329E-7</v>
      </c>
    </row>
    <row r="31" spans="1:13" ht="17" x14ac:dyDescent="0.25">
      <c r="I31" s="20" t="s">
        <v>97</v>
      </c>
      <c r="J31" s="1">
        <f>(1/B3^2)*(J25*J26^2+J27+2*J25*J26/B3+J25/B3^2)</f>
        <v>8.9845087136422312E-8</v>
      </c>
    </row>
    <row r="32" spans="1:13" x14ac:dyDescent="0.2">
      <c r="D32" s="1"/>
    </row>
    <row r="33" spans="3:4" x14ac:dyDescent="0.2">
      <c r="C33" s="1"/>
      <c r="D33" s="1"/>
    </row>
    <row r="34" spans="3:4" x14ac:dyDescent="0.2">
      <c r="C34" s="1"/>
      <c r="D34" s="1"/>
    </row>
    <row r="35" spans="3:4" x14ac:dyDescent="0.2">
      <c r="C35" s="1"/>
      <c r="D35" s="1"/>
    </row>
    <row r="36" spans="3:4" x14ac:dyDescent="0.2">
      <c r="C36" s="1"/>
      <c r="D36" s="1"/>
    </row>
    <row r="37" spans="3:4" x14ac:dyDescent="0.2">
      <c r="C37" s="1"/>
      <c r="D37" s="1"/>
    </row>
    <row r="38" spans="3:4" x14ac:dyDescent="0.2">
      <c r="C38" s="1"/>
      <c r="D38" s="1"/>
    </row>
  </sheetData>
  <mergeCells count="1">
    <mergeCell ref="A1:XF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topLeftCell="A5" workbookViewId="0">
      <selection activeCell="W25" sqref="W25"/>
    </sheetView>
  </sheetViews>
  <sheetFormatPr baseColWidth="10" defaultColWidth="8.83203125" defaultRowHeight="15" x14ac:dyDescent="0.2"/>
  <cols>
    <col min="1" max="1" width="21.5" bestFit="1" customWidth="1"/>
    <col min="2" max="2" width="17.83203125" bestFit="1" customWidth="1"/>
    <col min="3" max="3" width="14.1640625" bestFit="1" customWidth="1"/>
    <col min="5" max="5" width="15.1640625" customWidth="1"/>
    <col min="7" max="7" width="8.1640625" bestFit="1" customWidth="1"/>
  </cols>
  <sheetData>
    <row r="1" spans="1:5" s="24" customFormat="1" ht="21" thickBot="1" x14ac:dyDescent="0.3">
      <c r="A1" s="24" t="s">
        <v>75</v>
      </c>
    </row>
    <row r="2" spans="1:5" ht="16" thickTop="1" x14ac:dyDescent="0.2">
      <c r="A2" s="4"/>
    </row>
    <row r="3" spans="1:5" x14ac:dyDescent="0.2">
      <c r="A3" s="12" t="s">
        <v>76</v>
      </c>
      <c r="B3">
        <f>0.5+2.365+0.5+0.26+0.28+0.26+1.75</f>
        <v>5.915</v>
      </c>
      <c r="C3" t="s">
        <v>77</v>
      </c>
    </row>
    <row r="4" spans="1:5" x14ac:dyDescent="0.2">
      <c r="A4" s="12" t="s">
        <v>98</v>
      </c>
      <c r="B4">
        <v>0.8</v>
      </c>
    </row>
    <row r="5" spans="1:5" x14ac:dyDescent="0.2">
      <c r="A5" s="12" t="s">
        <v>105</v>
      </c>
      <c r="B5">
        <v>0.34010000000000001</v>
      </c>
    </row>
    <row r="6" spans="1:5" ht="60" x14ac:dyDescent="0.2">
      <c r="A6" s="8" t="s">
        <v>101</v>
      </c>
      <c r="B6" s="8" t="s">
        <v>100</v>
      </c>
      <c r="C6" s="8" t="s">
        <v>99</v>
      </c>
      <c r="D6" s="8" t="s">
        <v>102</v>
      </c>
      <c r="E6" s="8" t="s">
        <v>103</v>
      </c>
    </row>
    <row r="7" spans="1:5" x14ac:dyDescent="0.2">
      <c r="A7" s="9">
        <v>-0.1</v>
      </c>
      <c r="B7" s="10">
        <f t="shared" ref="B7:B22" si="0">A7/0.13</f>
        <v>-0.76923076923076927</v>
      </c>
      <c r="C7" s="25">
        <f>SQRT(ABS(B7)/B$4)</f>
        <v>0.98058067569092022</v>
      </c>
      <c r="D7" s="11">
        <v>4.9200331508640199E-3</v>
      </c>
      <c r="E7" s="26">
        <f t="shared" ref="E7:E22" si="1">D7^2</f>
        <v>2.4206726205600935E-5</v>
      </c>
    </row>
    <row r="8" spans="1:5" x14ac:dyDescent="0.2">
      <c r="A8" s="9">
        <v>-0.09</v>
      </c>
      <c r="B8" s="10">
        <f t="shared" si="0"/>
        <v>-0.69230769230769229</v>
      </c>
      <c r="C8" s="25">
        <f t="shared" ref="C8:C22" si="2">SQRT(ABS(B8)/B$4)</f>
        <v>0.93026050941906335</v>
      </c>
      <c r="D8" s="11">
        <v>4.2512927528120803E-3</v>
      </c>
      <c r="E8" s="26">
        <f t="shared" si="1"/>
        <v>1.8073490070112517E-5</v>
      </c>
    </row>
    <row r="9" spans="1:5" x14ac:dyDescent="0.2">
      <c r="A9" s="9">
        <v>-0.08</v>
      </c>
      <c r="B9" s="10">
        <f t="shared" si="0"/>
        <v>-0.61538461538461542</v>
      </c>
      <c r="C9" s="25">
        <f t="shared" si="2"/>
        <v>0.8770580193070292</v>
      </c>
      <c r="D9" s="11">
        <v>3.5861601857807299E-3</v>
      </c>
      <c r="E9" s="26">
        <f t="shared" si="1"/>
        <v>1.2860544878078879E-5</v>
      </c>
    </row>
    <row r="10" spans="1:5" x14ac:dyDescent="0.2">
      <c r="A10" s="9">
        <v>-7.0000000000000007E-2</v>
      </c>
      <c r="B10" s="10">
        <f t="shared" si="0"/>
        <v>-0.53846153846153855</v>
      </c>
      <c r="C10" s="25">
        <f t="shared" si="2"/>
        <v>0.82041265414236697</v>
      </c>
      <c r="D10" s="11">
        <v>2.9246200470683598E-3</v>
      </c>
      <c r="E10" s="26">
        <f t="shared" si="1"/>
        <v>8.5534024197141349E-6</v>
      </c>
    </row>
    <row r="11" spans="1:5" x14ac:dyDescent="0.2">
      <c r="A11" s="9">
        <v>-0.06</v>
      </c>
      <c r="B11" s="10">
        <f t="shared" si="0"/>
        <v>-0.46153846153846151</v>
      </c>
      <c r="C11" s="25">
        <f t="shared" si="2"/>
        <v>0.75955452531274992</v>
      </c>
      <c r="D11" s="11">
        <v>2.2666692807722598E-3</v>
      </c>
      <c r="E11" s="26">
        <f t="shared" si="1"/>
        <v>5.1377896283966336E-6</v>
      </c>
    </row>
    <row r="12" spans="1:5" x14ac:dyDescent="0.2">
      <c r="A12" s="9">
        <v>-0.05</v>
      </c>
      <c r="B12" s="10">
        <f t="shared" si="0"/>
        <v>-0.38461538461538464</v>
      </c>
      <c r="C12" s="25">
        <f t="shared" si="2"/>
        <v>0.69337524528153638</v>
      </c>
      <c r="D12" s="11">
        <v>1.6122928463584501E-3</v>
      </c>
      <c r="E12" s="26">
        <f t="shared" si="1"/>
        <v>2.5994882224186326E-6</v>
      </c>
    </row>
    <row r="13" spans="1:5" x14ac:dyDescent="0.2">
      <c r="A13" s="9">
        <v>-3.9999999999999897E-2</v>
      </c>
      <c r="B13" s="10">
        <f t="shared" si="0"/>
        <v>-0.30769230769230688</v>
      </c>
      <c r="C13" s="25">
        <f t="shared" si="2"/>
        <v>0.62017367294604142</v>
      </c>
      <c r="D13" s="11">
        <v>9.6148136557953402E-4</v>
      </c>
      <c r="E13" s="26">
        <f t="shared" si="1"/>
        <v>9.2444641635668559E-7</v>
      </c>
    </row>
    <row r="14" spans="1:5" x14ac:dyDescent="0.2">
      <c r="A14" s="9">
        <v>-2.9999999999999898E-2</v>
      </c>
      <c r="B14" s="10">
        <f t="shared" si="0"/>
        <v>-0.23076923076922998</v>
      </c>
      <c r="C14" s="25">
        <f t="shared" si="2"/>
        <v>0.53708615552957373</v>
      </c>
      <c r="D14" s="21">
        <v>6.2389924446269599E-4</v>
      </c>
      <c r="E14" s="26">
        <f t="shared" si="1"/>
        <v>3.8925026724112289E-7</v>
      </c>
    </row>
    <row r="15" spans="1:5" x14ac:dyDescent="0.2">
      <c r="A15" s="9">
        <v>-1.99999999999999E-2</v>
      </c>
      <c r="B15" s="10">
        <f t="shared" si="0"/>
        <v>-0.15384615384615308</v>
      </c>
      <c r="C15" s="25">
        <f t="shared" si="2"/>
        <v>0.43852900965351349</v>
      </c>
      <c r="D15" s="11">
        <v>9.0928207358094903E-4</v>
      </c>
      <c r="E15" s="26">
        <f t="shared" si="1"/>
        <v>8.267938893356704E-7</v>
      </c>
    </row>
    <row r="16" spans="1:5" x14ac:dyDescent="0.2">
      <c r="A16" s="9">
        <v>-9.99999999999991E-3</v>
      </c>
      <c r="B16" s="10">
        <f t="shared" si="0"/>
        <v>-7.6923076923076233E-2</v>
      </c>
      <c r="C16" s="25">
        <f t="shared" si="2"/>
        <v>0.31008683647301977</v>
      </c>
      <c r="D16" s="11">
        <v>1.19307162081399E-3</v>
      </c>
      <c r="E16" s="26">
        <f t="shared" si="1"/>
        <v>1.4234198923917211E-6</v>
      </c>
    </row>
    <row r="17" spans="1:5" x14ac:dyDescent="0.2">
      <c r="A17" s="9">
        <v>1E-3</v>
      </c>
      <c r="B17" s="10">
        <f t="shared" si="0"/>
        <v>7.6923076923076919E-3</v>
      </c>
      <c r="C17" s="25">
        <f t="shared" si="2"/>
        <v>9.8058067569092008E-2</v>
      </c>
      <c r="D17" s="11">
        <v>1.6698024153945399E-3</v>
      </c>
      <c r="E17" s="26">
        <f t="shared" si="1"/>
        <v>2.7882401064574396E-6</v>
      </c>
    </row>
    <row r="18" spans="1:5" x14ac:dyDescent="0.2">
      <c r="A18" s="9">
        <v>0.01</v>
      </c>
      <c r="B18" s="10">
        <f t="shared" si="0"/>
        <v>7.6923076923076927E-2</v>
      </c>
      <c r="C18" s="25">
        <f t="shared" si="2"/>
        <v>0.31008683647302115</v>
      </c>
      <c r="D18" s="11">
        <v>2.2394696094846199E-3</v>
      </c>
      <c r="E18" s="26">
        <f t="shared" si="1"/>
        <v>5.0152241318051957E-6</v>
      </c>
    </row>
    <row r="19" spans="1:5" x14ac:dyDescent="0.2">
      <c r="A19" s="9">
        <v>0.02</v>
      </c>
      <c r="B19" s="10">
        <f t="shared" si="0"/>
        <v>0.15384615384615385</v>
      </c>
      <c r="C19" s="25">
        <f t="shared" si="2"/>
        <v>0.4385290096535146</v>
      </c>
      <c r="D19" s="11">
        <v>2.8691051558586999E-3</v>
      </c>
      <c r="E19" s="26">
        <f t="shared" si="1"/>
        <v>8.2317643953749741E-6</v>
      </c>
    </row>
    <row r="20" spans="1:5" x14ac:dyDescent="0.2">
      <c r="A20" s="9">
        <v>0.03</v>
      </c>
      <c r="B20" s="10">
        <f t="shared" si="0"/>
        <v>0.23076923076923075</v>
      </c>
      <c r="C20" s="25">
        <f t="shared" si="2"/>
        <v>0.53708615552957462</v>
      </c>
      <c r="D20" s="11">
        <v>3.4952662027439799E-3</v>
      </c>
      <c r="E20" s="26">
        <f t="shared" si="1"/>
        <v>1.2216885828044321E-5</v>
      </c>
    </row>
    <row r="21" spans="1:5" x14ac:dyDescent="0.2">
      <c r="A21" s="9">
        <v>0.04</v>
      </c>
      <c r="B21" s="10">
        <f t="shared" si="0"/>
        <v>0.30769230769230771</v>
      </c>
      <c r="C21" s="25">
        <f t="shared" si="2"/>
        <v>0.62017367294604231</v>
      </c>
      <c r="D21" s="11">
        <v>4.1179326519645999E-3</v>
      </c>
      <c r="E21" s="26">
        <f t="shared" si="1"/>
        <v>1.6957369326116202E-5</v>
      </c>
    </row>
    <row r="22" spans="1:5" x14ac:dyDescent="0.2">
      <c r="A22" s="9">
        <v>0.05</v>
      </c>
      <c r="B22" s="10">
        <f t="shared" si="0"/>
        <v>0.38461538461538464</v>
      </c>
      <c r="C22" s="25">
        <f t="shared" si="2"/>
        <v>0.69337524528153638</v>
      </c>
      <c r="D22" s="11">
        <v>4.7371257726572897E-3</v>
      </c>
      <c r="E22" s="26">
        <f t="shared" si="1"/>
        <v>2.2440360585973924E-5</v>
      </c>
    </row>
    <row r="28" spans="1:5" ht="17" x14ac:dyDescent="0.25">
      <c r="B28" s="18" t="s">
        <v>90</v>
      </c>
      <c r="C28" s="17">
        <v>3.0946799999999998E-7</v>
      </c>
    </row>
    <row r="29" spans="1:5" ht="17" x14ac:dyDescent="0.25">
      <c r="B29" s="18" t="s">
        <v>91</v>
      </c>
      <c r="C29" s="17">
        <f>PI()*0.001*0.0002</f>
        <v>6.2831853071795864E-7</v>
      </c>
    </row>
    <row r="33" spans="3:3" x14ac:dyDescent="0.2">
      <c r="C33" s="1"/>
    </row>
    <row r="34" spans="3:3" x14ac:dyDescent="0.2">
      <c r="C34" s="1"/>
    </row>
    <row r="35" spans="3:3" x14ac:dyDescent="0.2">
      <c r="C35" s="1"/>
    </row>
    <row r="36" spans="3:3" x14ac:dyDescent="0.2">
      <c r="C36" s="1"/>
    </row>
    <row r="37" spans="3:3" x14ac:dyDescent="0.2">
      <c r="C37" s="1"/>
    </row>
    <row r="38" spans="3:3" x14ac:dyDescent="0.2">
      <c r="C38" s="1"/>
    </row>
  </sheetData>
  <mergeCells count="1">
    <mergeCell ref="A1:XF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3.</vt:lpstr>
      <vt:lpstr>4.</vt:lpstr>
      <vt:lpstr>5.</vt:lpstr>
      <vt:lpstr>6.</vt:lpstr>
      <vt:lpstr>6. problem</vt:lpstr>
      <vt:lpstr>6. ThickLens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Microsoft Office User</cp:lastModifiedBy>
  <dcterms:created xsi:type="dcterms:W3CDTF">2018-09-10T18:21:03Z</dcterms:created>
  <dcterms:modified xsi:type="dcterms:W3CDTF">2018-09-12T15:33:57Z</dcterms:modified>
</cp:coreProperties>
</file>