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lyn\Documents\Work\conferences\JINA_IOSS\"/>
    </mc:Choice>
  </mc:AlternateContent>
  <xr:revisionPtr revIDLastSave="0" documentId="13_ncr:1_{C6A3297C-9EA3-4163-90A0-39BE8FE21E7D}" xr6:coauthVersionLast="36" xr6:coauthVersionMax="36" xr10:uidLastSave="{00000000-0000-0000-0000-000000000000}"/>
  <bookViews>
    <workbookView xWindow="0" yWindow="0" windowWidth="23040" windowHeight="9060" firstSheet="2" activeTab="6" xr2:uid="{00000000-000D-0000-FFFF-FFFF00000000}"/>
  </bookViews>
  <sheets>
    <sheet name="3." sheetId="1" r:id="rId1"/>
    <sheet name="4." sheetId="2" r:id="rId2"/>
    <sheet name="5." sheetId="4" r:id="rId3"/>
    <sheet name="6." sheetId="5" r:id="rId4"/>
    <sheet name="6. problem" sheetId="7" r:id="rId5"/>
    <sheet name="6. ThickLens" sheetId="8" r:id="rId6"/>
    <sheet name="7." sheetId="9" r:id="rId7"/>
  </sheets>
  <calcPr calcId="162913" concurrentCalc="0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5" i="9" l="1"/>
  <c r="C8" i="9"/>
  <c r="C4" i="9"/>
  <c r="B4" i="9"/>
  <c r="B5" i="9"/>
  <c r="B6" i="9"/>
  <c r="C29" i="8"/>
  <c r="B3" i="8"/>
  <c r="E22" i="8"/>
  <c r="B22" i="8"/>
  <c r="C22" i="8"/>
  <c r="E21" i="8"/>
  <c r="B21" i="8"/>
  <c r="C21" i="8"/>
  <c r="E20" i="8"/>
  <c r="B20" i="8"/>
  <c r="C20" i="8"/>
  <c r="E19" i="8"/>
  <c r="B19" i="8"/>
  <c r="C19" i="8"/>
  <c r="E18" i="8"/>
  <c r="B18" i="8"/>
  <c r="C18" i="8"/>
  <c r="E17" i="8"/>
  <c r="B17" i="8"/>
  <c r="C17" i="8"/>
  <c r="E16" i="8"/>
  <c r="B16" i="8"/>
  <c r="C16" i="8"/>
  <c r="E15" i="8"/>
  <c r="B15" i="8"/>
  <c r="C15" i="8"/>
  <c r="E14" i="8"/>
  <c r="B14" i="8"/>
  <c r="C14" i="8"/>
  <c r="E13" i="8"/>
  <c r="B13" i="8"/>
  <c r="C13" i="8"/>
  <c r="E12" i="8"/>
  <c r="B12" i="8"/>
  <c r="C12" i="8"/>
  <c r="E11" i="8"/>
  <c r="B11" i="8"/>
  <c r="C11" i="8"/>
  <c r="E10" i="8"/>
  <c r="B10" i="8"/>
  <c r="C10" i="8"/>
  <c r="E9" i="8"/>
  <c r="B9" i="8"/>
  <c r="C9" i="8"/>
  <c r="E8" i="8"/>
  <c r="B8" i="8"/>
  <c r="C8" i="8"/>
  <c r="E7" i="8"/>
  <c r="B7" i="8"/>
  <c r="C7" i="8"/>
  <c r="B22" i="7"/>
  <c r="C22" i="7"/>
  <c r="F22" i="7"/>
  <c r="E22" i="7"/>
  <c r="D22" i="7"/>
  <c r="B21" i="7"/>
  <c r="C21" i="7"/>
  <c r="F21" i="7"/>
  <c r="E21" i="7"/>
  <c r="D21" i="7"/>
  <c r="B20" i="7"/>
  <c r="C20" i="7"/>
  <c r="F20" i="7"/>
  <c r="E20" i="7"/>
  <c r="D20" i="7"/>
  <c r="B19" i="7"/>
  <c r="C19" i="7"/>
  <c r="F19" i="7"/>
  <c r="E19" i="7"/>
  <c r="D19" i="7"/>
  <c r="B18" i="7"/>
  <c r="C18" i="7"/>
  <c r="F18" i="7"/>
  <c r="E18" i="7"/>
  <c r="D18" i="7"/>
  <c r="B17" i="7"/>
  <c r="C17" i="7"/>
  <c r="F17" i="7"/>
  <c r="E17" i="7"/>
  <c r="D17" i="7"/>
  <c r="B16" i="7"/>
  <c r="C16" i="7"/>
  <c r="F16" i="7"/>
  <c r="E16" i="7"/>
  <c r="D16" i="7"/>
  <c r="B15" i="7"/>
  <c r="C15" i="7"/>
  <c r="F15" i="7"/>
  <c r="E15" i="7"/>
  <c r="D15" i="7"/>
  <c r="B14" i="7"/>
  <c r="C14" i="7"/>
  <c r="F14" i="7"/>
  <c r="E14" i="7"/>
  <c r="D14" i="7"/>
  <c r="B13" i="7"/>
  <c r="C13" i="7"/>
  <c r="F13" i="7"/>
  <c r="E13" i="7"/>
  <c r="D13" i="7"/>
  <c r="B12" i="7"/>
  <c r="C12" i="7"/>
  <c r="F12" i="7"/>
  <c r="E12" i="7"/>
  <c r="D12" i="7"/>
  <c r="B11" i="7"/>
  <c r="C11" i="7"/>
  <c r="F11" i="7"/>
  <c r="E11" i="7"/>
  <c r="D11" i="7"/>
  <c r="B10" i="7"/>
  <c r="C10" i="7"/>
  <c r="F10" i="7"/>
  <c r="E10" i="7"/>
  <c r="D10" i="7"/>
  <c r="B9" i="7"/>
  <c r="C9" i="7"/>
  <c r="F9" i="7"/>
  <c r="E9" i="7"/>
  <c r="D9" i="7"/>
  <c r="B8" i="7"/>
  <c r="C8" i="7"/>
  <c r="F8" i="7"/>
  <c r="E8" i="7"/>
  <c r="D8" i="7"/>
  <c r="B7" i="7"/>
  <c r="C7" i="7"/>
  <c r="F7" i="7"/>
  <c r="E7" i="7"/>
  <c r="D7" i="7"/>
  <c r="B3" i="7"/>
  <c r="H26" i="7"/>
  <c r="I22" i="7"/>
  <c r="G22" i="7"/>
  <c r="I21" i="7"/>
  <c r="G21" i="7"/>
  <c r="I20" i="7"/>
  <c r="G20" i="7"/>
  <c r="I19" i="7"/>
  <c r="G19" i="7"/>
  <c r="I18" i="7"/>
  <c r="G18" i="7"/>
  <c r="I17" i="7"/>
  <c r="G17" i="7"/>
  <c r="I16" i="7"/>
  <c r="G16" i="7"/>
  <c r="I15" i="7"/>
  <c r="G15" i="7"/>
  <c r="I14" i="7"/>
  <c r="G14" i="7"/>
  <c r="I13" i="7"/>
  <c r="G13" i="7"/>
  <c r="I12" i="7"/>
  <c r="G12" i="7"/>
  <c r="I11" i="7"/>
  <c r="G11" i="7"/>
  <c r="I10" i="7"/>
  <c r="G10" i="7"/>
  <c r="I9" i="7"/>
  <c r="G9" i="7"/>
  <c r="I8" i="7"/>
  <c r="G8" i="7"/>
  <c r="I7" i="7"/>
  <c r="G7" i="7"/>
  <c r="B22" i="5"/>
  <c r="C22" i="5"/>
  <c r="D22" i="5"/>
  <c r="B3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C7" i="5"/>
  <c r="D7" i="5"/>
  <c r="C8" i="5"/>
  <c r="D8" i="5"/>
  <c r="C9" i="5"/>
  <c r="D9" i="5"/>
  <c r="C10" i="5"/>
  <c r="D10" i="5"/>
  <c r="C11" i="5"/>
  <c r="D11" i="5"/>
  <c r="C12" i="5"/>
  <c r="D12" i="5"/>
  <c r="C13" i="5"/>
  <c r="D13" i="5"/>
  <c r="C14" i="5"/>
  <c r="D14" i="5"/>
  <c r="C15" i="5"/>
  <c r="D15" i="5"/>
  <c r="C16" i="5"/>
  <c r="D16" i="5"/>
  <c r="C17" i="5"/>
  <c r="D17" i="5"/>
  <c r="C18" i="5"/>
  <c r="D18" i="5"/>
  <c r="C19" i="5"/>
  <c r="D19" i="5"/>
  <c r="C20" i="5"/>
  <c r="D20" i="5"/>
  <c r="C21" i="5"/>
  <c r="D21" i="5"/>
  <c r="H2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I6" i="2"/>
  <c r="B11" i="2"/>
  <c r="B21" i="1"/>
  <c r="B20" i="1"/>
  <c r="B19" i="1"/>
  <c r="B18" i="1"/>
  <c r="B17" i="1"/>
  <c r="B16" i="1"/>
  <c r="B15" i="1"/>
  <c r="B14" i="1"/>
  <c r="B11" i="1"/>
  <c r="B24" i="1"/>
  <c r="B23" i="1"/>
  <c r="B13" i="1"/>
  <c r="B22" i="1"/>
  <c r="B12" i="1"/>
  <c r="B26" i="7"/>
  <c r="B25" i="7"/>
  <c r="E25" i="7"/>
  <c r="E26" i="7"/>
  <c r="B27" i="7"/>
  <c r="E27" i="7"/>
  <c r="H25" i="7"/>
  <c r="H27" i="7"/>
  <c r="E29" i="7"/>
  <c r="E31" i="7"/>
  <c r="E30" i="7"/>
  <c r="H29" i="7"/>
  <c r="B25" i="5"/>
  <c r="E25" i="5"/>
  <c r="B27" i="5"/>
  <c r="B26" i="5"/>
  <c r="E26" i="5"/>
  <c r="E27" i="5"/>
  <c r="H25" i="5"/>
  <c r="H27" i="5"/>
  <c r="E29" i="5"/>
  <c r="E31" i="5"/>
  <c r="E30" i="5"/>
  <c r="H29" i="5"/>
</calcChain>
</file>

<file path=xl/sharedStrings.xml><?xml version="1.0" encoding="utf-8"?>
<sst xmlns="http://schemas.openxmlformats.org/spreadsheetml/2006/main" count="176" uniqueCount="127">
  <si>
    <t>x</t>
  </si>
  <si>
    <t>a</t>
  </si>
  <si>
    <t>y</t>
  </si>
  <si>
    <t>b</t>
  </si>
  <si>
    <t>l</t>
  </si>
  <si>
    <t xml:space="preserve">(x|x) = </t>
  </si>
  <si>
    <t xml:space="preserve">(x|a) = </t>
  </si>
  <si>
    <t xml:space="preserve">(a|a) = </t>
  </si>
  <si>
    <t xml:space="preserve">(l|x) = </t>
  </si>
  <si>
    <t>(a|x) =</t>
  </si>
  <si>
    <t xml:space="preserve">(l|a) = </t>
  </si>
  <si>
    <t>dK</t>
  </si>
  <si>
    <t xml:space="preserve">(x|dK) = </t>
  </si>
  <si>
    <t xml:space="preserve">(a|dK) = </t>
  </si>
  <si>
    <t xml:space="preserve">(y|y) = </t>
  </si>
  <si>
    <t xml:space="preserve">(y|b) = </t>
  </si>
  <si>
    <t xml:space="preserve">(b|y) = </t>
  </si>
  <si>
    <t xml:space="preserve">(b|b) = </t>
  </si>
  <si>
    <t>(l|l) =</t>
  </si>
  <si>
    <t xml:space="preserve">(l|dK) = </t>
  </si>
  <si>
    <t>Offset in KE --&gt; offset in x</t>
  </si>
  <si>
    <t>Offset in angle --&gt; offset in x</t>
  </si>
  <si>
    <t>Offset in KE --&gt; offset in angle</t>
  </si>
  <si>
    <t>Offset in x --&gt; opposite offset in angle, see (x|x)</t>
  </si>
  <si>
    <t>Angle magnification: Angle differences are decreased, see (x|x)</t>
  </si>
  <si>
    <t>Magnification = 0.64: X is squished because outer paths stay in magnet longer and inner paths are not bent as much because they sepnd less time in the magnet.</t>
  </si>
  <si>
    <t>Y is not affected by dipole field.</t>
  </si>
  <si>
    <t>But y still depends on incoming angle.</t>
  </si>
  <si>
    <t>B does not depend on incoming y.</t>
  </si>
  <si>
    <t>B is not affected by dipole field</t>
  </si>
  <si>
    <t>INCLUDE 'COSY' ;</t>
  </si>
  <si>
    <t>PROCEDURE RUN ;</t>
  </si>
  <si>
    <t xml:space="preserve"> OV 1 3 1 ; {order 1, phase space dim 3 INCLUDING ENERGY, # of parameters 0}</t>
  </si>
  <si>
    <t xml:space="preserve"> RP 20 21 11 ; {kin. energy, mass 21 amu, charge 11}</t>
  </si>
  <si>
    <t xml:space="preserve"> UM ; {sets maps to unity}</t>
  </si>
  <si>
    <t xml:space="preserve"> </t>
  </si>
  <si>
    <t xml:space="preserve"> SB 0 0.03 0 0.01 0 0 0 0.3 0 0 0 ;</t>
  </si>
  <si>
    <t xml:space="preserve"> ER 1 3 3 1 1 3 1 1 ;</t>
  </si>
  <si>
    <t xml:space="preserve"> PTY 5; </t>
  </si>
  <si>
    <t xml:space="preserve"> BP ; {begins a picture}</t>
  </si>
  <si>
    <t xml:space="preserve"> DL .1; {drift length .1 m}</t>
  </si>
  <si>
    <t xml:space="preserve"> DI 1. 45. .03 0 0 0 0; {parallel face dipole, radius 1.0 m, angle 45 deg, aperture 3 cm}</t>
  </si>
  <si>
    <t xml:space="preserve"> EP ; {ends a picture}</t>
  </si>
  <si>
    <t xml:space="preserve"> PG -1 -2 ; {outputs x,y picture on screen}</t>
  </si>
  <si>
    <t xml:space="preserve"> PM 6 ; {Prints Transfer Matrix on Screen}</t>
  </si>
  <si>
    <t xml:space="preserve"> PM 11 ;{Prints Transfer Matrix to file fort.11}</t>
  </si>
  <si>
    <t>ENDPROCEDURE ;</t>
  </si>
  <si>
    <t>RUN ; END ;</t>
  </si>
  <si>
    <t>Reaction: Al-23 (p,g)</t>
  </si>
  <si>
    <t>MeV</t>
  </si>
  <si>
    <t>Projectile (m1)</t>
  </si>
  <si>
    <t>Target (m2)</t>
  </si>
  <si>
    <t>Ejectile (m3)</t>
  </si>
  <si>
    <t>Recoil (m4)</t>
  </si>
  <si>
    <t>Projectile E</t>
  </si>
  <si>
    <t>kinetic</t>
  </si>
  <si>
    <t>http://skisickness.com/2010/04/relativistic-kinematics-calculator/</t>
  </si>
  <si>
    <t>Ejectile Ex</t>
  </si>
  <si>
    <t>Recoil Ex</t>
  </si>
  <si>
    <t>23Al</t>
  </si>
  <si>
    <t>1H</t>
  </si>
  <si>
    <t>24Si</t>
  </si>
  <si>
    <t>gamma</t>
  </si>
  <si>
    <t>Note: We used DI instead of DP to match a "textbook dipole" rather than a parallel dipole.</t>
  </si>
  <si>
    <t>Problem 3</t>
  </si>
  <si>
    <t>Problem 4</t>
  </si>
  <si>
    <r>
      <t xml:space="preserve">The maximum </t>
    </r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 xml:space="preserve">Si energy is 3.463 MeV. The minimum </t>
    </r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 xml:space="preserve">Si energy is 3.343 MeV. The maximum </t>
    </r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>Si angle is 0.5 degrees.</t>
    </r>
  </si>
  <si>
    <r>
      <t xml:space="preserve">The maximum </t>
    </r>
    <r>
      <rPr>
        <i/>
        <sz val="11"/>
        <color theme="1"/>
        <rFont val="Calibri"/>
        <family val="2"/>
        <scheme val="minor"/>
      </rPr>
      <t>γ</t>
    </r>
    <r>
      <rPr>
        <sz val="11"/>
        <color theme="1"/>
        <rFont val="Calibri"/>
        <family val="2"/>
        <scheme val="minor"/>
      </rPr>
      <t xml:space="preserve"> energy is 3.492 MeV. The minimum </t>
    </r>
    <r>
      <rPr>
        <i/>
        <sz val="11"/>
        <color theme="1"/>
        <rFont val="Calibri"/>
        <family val="2"/>
        <scheme val="minor"/>
      </rPr>
      <t>γ</t>
    </r>
    <r>
      <rPr>
        <sz val="11"/>
        <color theme="1"/>
        <rFont val="Calibri"/>
        <family val="2"/>
        <scheme val="minor"/>
      </rPr>
      <t xml:space="preserve"> energy is 3.372 MeV.</t>
    </r>
  </si>
  <si>
    <t>Result:</t>
  </si>
  <si>
    <t>b.</t>
  </si>
  <si>
    <t>a.</t>
  </si>
  <si>
    <t>The maximum angle is about 9 mrad, which fits the angular acceptance of 25 mrad.</t>
  </si>
  <si>
    <t>The energy spread is</t>
  </si>
  <si>
    <t>Problem 5</t>
  </si>
  <si>
    <t>https://journals.aps.org/prl/abstract/10.1103/PhysRevLett.79.3845</t>
  </si>
  <si>
    <t>Problem 6</t>
  </si>
  <si>
    <t xml:space="preserve">L = </t>
  </si>
  <si>
    <t>m</t>
  </si>
  <si>
    <t>a =</t>
  </si>
  <si>
    <t xml:space="preserve">b = </t>
  </si>
  <si>
    <t xml:space="preserve">c = </t>
  </si>
  <si>
    <t xml:space="preserve">a = </t>
  </si>
  <si>
    <t>±</t>
  </si>
  <si>
    <t>&lt;-- This is where a resonance is</t>
  </si>
  <si>
    <r>
      <t xml:space="preserve">"This reaction is of considerable interest, since it might lead to a decrease of the </t>
    </r>
    <r>
      <rPr>
        <vertAlign val="superscript"/>
        <sz val="7.75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 xml:space="preserve">Na production in nova explosions, and solve the discrepancy between the </t>
    </r>
    <r>
      <rPr>
        <vertAlign val="superscript"/>
        <sz val="7.75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>Na yield predictions of nova models and recent COMPTEL observations."</t>
    </r>
  </si>
  <si>
    <t>This fits in SECAR's energy acceptance of 3.1%.</t>
  </si>
  <si>
    <t>Fit Coefficients</t>
  </si>
  <si>
    <r>
      <t>ab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+c =   </t>
    </r>
  </si>
  <si>
    <t>ratio =</t>
  </si>
  <si>
    <t>-2ab =</t>
  </si>
  <si>
    <r>
      <t>e</t>
    </r>
    <r>
      <rPr>
        <b/>
        <vertAlign val="subscript"/>
        <sz val="11"/>
        <color rgb="FFFA7D00"/>
        <rFont val="Calibri"/>
        <family val="2"/>
        <scheme val="minor"/>
      </rPr>
      <t>cosy</t>
    </r>
    <r>
      <rPr>
        <b/>
        <sz val="11"/>
        <color rgb="FFFA7D00"/>
        <rFont val="Calibri"/>
        <family val="2"/>
        <scheme val="minor"/>
      </rPr>
      <t xml:space="preserve"> = </t>
    </r>
  </si>
  <si>
    <r>
      <t>e</t>
    </r>
    <r>
      <rPr>
        <b/>
        <vertAlign val="subscript"/>
        <sz val="11"/>
        <color rgb="FFFA7D00"/>
        <rFont val="Calibri"/>
        <family val="2"/>
        <scheme val="minor"/>
      </rPr>
      <t>th</t>
    </r>
    <r>
      <rPr>
        <b/>
        <sz val="11"/>
        <color rgb="FFFA7D00"/>
        <rFont val="Calibri"/>
        <family val="2"/>
        <scheme val="minor"/>
      </rPr>
      <t xml:space="preserve"> =  </t>
    </r>
  </si>
  <si>
    <r>
      <t xml:space="preserve">From H. Schatz </t>
    </r>
    <r>
      <rPr>
        <i/>
        <sz val="11"/>
        <color theme="1"/>
        <rFont val="Calibri"/>
        <family val="2"/>
        <scheme val="minor"/>
      </rPr>
      <t>et al.</t>
    </r>
    <r>
      <rPr>
        <sz val="11"/>
        <color theme="1"/>
        <rFont val="Calibri"/>
        <family val="2"/>
        <scheme val="minor"/>
      </rPr>
      <t xml:space="preserve"> Phys. Rev. Lett. 79, 3845 – Published 17 November 1997</t>
    </r>
  </si>
  <si>
    <t>Code:</t>
  </si>
  <si>
    <r>
      <t>e</t>
    </r>
    <r>
      <rPr>
        <b/>
        <vertAlign val="subscript"/>
        <sz val="11"/>
        <color rgb="FFFA7D00"/>
        <rFont val="Calibri"/>
        <family val="2"/>
        <scheme val="minor"/>
      </rPr>
      <t>cosy</t>
    </r>
    <r>
      <rPr>
        <b/>
        <sz val="11"/>
        <color rgb="FFFA7D00"/>
        <rFont val="Calibri"/>
        <family val="2"/>
        <scheme val="minor"/>
      </rPr>
      <t xml:space="preserve"> =</t>
    </r>
  </si>
  <si>
    <r>
      <rPr>
        <sz val="11"/>
        <color theme="1"/>
        <rFont val="Calibri"/>
        <family val="2"/>
      </rPr>
      <t>σ</t>
    </r>
    <r>
      <rPr>
        <vertAlign val="subscript"/>
        <sz val="11"/>
        <color theme="1"/>
        <rFont val="Calibri"/>
        <family val="2"/>
        <scheme val="minor"/>
      </rPr>
      <t>11</t>
    </r>
    <r>
      <rPr>
        <sz val="11"/>
        <color theme="1"/>
        <rFont val="Calibri"/>
        <family val="2"/>
        <scheme val="minor"/>
      </rPr>
      <t xml:space="preserve"> =</t>
    </r>
  </si>
  <si>
    <r>
      <rPr>
        <sz val="11"/>
        <color theme="1"/>
        <rFont val="Calibri"/>
        <family val="2"/>
      </rPr>
      <t>σ</t>
    </r>
    <r>
      <rPr>
        <vertAlign val="subscript"/>
        <sz val="11"/>
        <color theme="1"/>
        <rFont val="Calibri"/>
        <family val="2"/>
        <scheme val="minor"/>
      </rPr>
      <t>12</t>
    </r>
    <r>
      <rPr>
        <sz val="11"/>
        <color theme="1"/>
        <rFont val="Calibri"/>
        <family val="2"/>
        <scheme val="minor"/>
      </rPr>
      <t xml:space="preserve"> =</t>
    </r>
  </si>
  <si>
    <r>
      <rPr>
        <sz val="11"/>
        <color theme="1"/>
        <rFont val="Calibri"/>
        <family val="2"/>
      </rPr>
      <t>σ</t>
    </r>
    <r>
      <rPr>
        <vertAlign val="subscript"/>
        <sz val="11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 xml:space="preserve"> =</t>
    </r>
  </si>
  <si>
    <t>Brho [Tm]=</t>
  </si>
  <si>
    <t>kq [1/m]</t>
  </si>
  <si>
    <t>Gradient [T/m]
(divide by aperture)</t>
  </si>
  <si>
    <t>Quadrupole [T]
(Flux density at pole tip)</t>
  </si>
  <si>
    <t>K [1/m]</t>
  </si>
  <si>
    <t>Length quad [m] =</t>
  </si>
  <si>
    <r>
      <t>x</t>
    </r>
    <r>
      <rPr>
        <b/>
        <vertAlign val="subscript"/>
        <sz val="11"/>
        <color theme="1"/>
        <rFont val="Calibri"/>
        <family val="2"/>
        <scheme val="minor"/>
      </rPr>
      <t>max</t>
    </r>
    <r>
      <rPr>
        <b/>
        <sz val="11"/>
        <color theme="1"/>
        <rFont val="Calibri"/>
        <family val="2"/>
        <scheme val="minor"/>
      </rPr>
      <t xml:space="preserve"> [m]
(VMAX(RAY(1))</t>
    </r>
  </si>
  <si>
    <r>
      <t>(x</t>
    </r>
    <r>
      <rPr>
        <b/>
        <vertAlign val="subscript"/>
        <sz val="11"/>
        <color theme="1"/>
        <rFont val="Calibri"/>
        <family val="2"/>
        <scheme val="minor"/>
      </rPr>
      <t>max</t>
    </r>
    <r>
      <rPr>
        <b/>
        <sz val="11"/>
        <color theme="1"/>
        <rFont val="Calibri"/>
        <family val="2"/>
        <scheme val="minor"/>
      </rPr>
      <t>)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</si>
  <si>
    <t>m rad</t>
  </si>
  <si>
    <t>(calculated a different way to check algebra)</t>
  </si>
  <si>
    <t>mrad</t>
  </si>
  <si>
    <r>
      <t>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[1/m]</t>
    </r>
  </si>
  <si>
    <r>
      <t>Cosh[k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L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>]</t>
    </r>
  </si>
  <si>
    <r>
      <t>kq Sinh[k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L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>]</t>
    </r>
  </si>
  <si>
    <r>
      <t>1/k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Sinh[k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L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>]</t>
    </r>
  </si>
  <si>
    <t>This column must be near zero for the thin lens approximation to be valid.</t>
  </si>
  <si>
    <t>Problem 7</t>
  </si>
  <si>
    <t>ME(1,2)</t>
  </si>
  <si>
    <t>Mass Resolving
Power at FP2</t>
  </si>
  <si>
    <t>Resolution by
Max Ray</t>
  </si>
  <si>
    <t>decrease Q2 length by 3%</t>
  </si>
  <si>
    <t>Q2 length</t>
  </si>
  <si>
    <t>Q2 Strength</t>
  </si>
  <si>
    <t>Modified Q2 length, not yet optimized</t>
  </si>
  <si>
    <t>after fit, with new Q2 strength</t>
  </si>
  <si>
    <t>Modified Q2 length, with optimized Q2 strength</t>
  </si>
  <si>
    <t>Half Image
Size</t>
  </si>
  <si>
    <t>Comment</t>
  </si>
  <si>
    <t>Change in Field: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</si>
</sst>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"/>
    <numFmt numFmtId="165" formatCode="0.0000000"/>
    <numFmt numFmtId="166" formatCode="0.0000000E+00"/>
    <numFmt numFmtId="168" formatCode="0.0"/>
    <numFmt numFmtId="173" formatCode="0.000000"/>
    <numFmt numFmtId="174" formatCode="0.0000000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7.75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rgb="FFFA7D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C7CE"/>
      </patternFill>
    </fill>
  </fills>
  <borders count="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7">
    <xf numFmtId="0" fontId="0" fillId="0" borderId="0"/>
    <xf numFmtId="9" fontId="3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2" borderId="2" applyNumberFormat="0" applyAlignment="0" applyProtection="0"/>
    <xf numFmtId="0" fontId="7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2" borderId="5" applyNumberFormat="0" applyAlignment="0" applyProtection="0"/>
  </cellStyleXfs>
  <cellXfs count="37">
    <xf numFmtId="0" fontId="0" fillId="0" borderId="0" xfId="0"/>
    <xf numFmtId="11" fontId="0" fillId="0" borderId="0" xfId="0" applyNumberFormat="1"/>
    <xf numFmtId="2" fontId="0" fillId="0" borderId="0" xfId="0" applyNumberFormat="1"/>
    <xf numFmtId="0" fontId="0" fillId="0" borderId="0" xfId="0" applyAlignment="1">
      <alignment horizontal="left" vertical="center" indent="1"/>
    </xf>
    <xf numFmtId="0" fontId="1" fillId="0" borderId="0" xfId="0" applyFont="1"/>
    <xf numFmtId="10" fontId="0" fillId="0" borderId="0" xfId="1" applyNumberFormat="1" applyFont="1" applyAlignment="1">
      <alignment horizontal="left"/>
    </xf>
    <xf numFmtId="0" fontId="7" fillId="0" borderId="0" xfId="4"/>
    <xf numFmtId="0" fontId="8" fillId="0" borderId="0" xfId="0" applyFont="1"/>
    <xf numFmtId="0" fontId="1" fillId="0" borderId="0" xfId="0" applyFont="1" applyAlignment="1">
      <alignment horizontal="center" vertical="center" wrapText="1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0" borderId="0" xfId="0" quotePrefix="1" applyAlignment="1">
      <alignment horizontal="right"/>
    </xf>
    <xf numFmtId="0" fontId="5" fillId="2" borderId="2" xfId="3" applyAlignment="1">
      <alignment horizontal="right"/>
    </xf>
    <xf numFmtId="11" fontId="5" fillId="2" borderId="2" xfId="3" applyNumberFormat="1"/>
    <xf numFmtId="0" fontId="1" fillId="0" borderId="0" xfId="0" applyFont="1" applyAlignment="1">
      <alignment horizontal="center"/>
    </xf>
    <xf numFmtId="11" fontId="5" fillId="2" borderId="4" xfId="3" applyNumberFormat="1" applyBorder="1"/>
    <xf numFmtId="0" fontId="5" fillId="2" borderId="3" xfId="3" applyBorder="1" applyAlignment="1">
      <alignment horizontal="right"/>
    </xf>
    <xf numFmtId="2" fontId="5" fillId="2" borderId="4" xfId="3" applyNumberFormat="1" applyBorder="1"/>
    <xf numFmtId="11" fontId="0" fillId="0" borderId="0" xfId="0" applyNumberFormat="1" applyAlignment="1">
      <alignment horizontal="right"/>
    </xf>
    <xf numFmtId="11" fontId="0" fillId="0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4" fillId="0" borderId="1" xfId="2" applyAlignment="1">
      <alignment horizontal="left"/>
    </xf>
    <xf numFmtId="0" fontId="1" fillId="0" borderId="0" xfId="0" applyFont="1" applyAlignment="1">
      <alignment horizontal="left"/>
    </xf>
    <xf numFmtId="0" fontId="4" fillId="0" borderId="1" xfId="2"/>
    <xf numFmtId="164" fontId="13" fillId="3" borderId="0" xfId="5" applyNumberFormat="1" applyAlignment="1">
      <alignment horizontal="center"/>
    </xf>
    <xf numFmtId="0" fontId="13" fillId="3" borderId="0" xfId="5"/>
    <xf numFmtId="168" fontId="0" fillId="0" borderId="0" xfId="0" applyNumberFormat="1"/>
    <xf numFmtId="173" fontId="0" fillId="0" borderId="0" xfId="0" applyNumberFormat="1"/>
    <xf numFmtId="0" fontId="1" fillId="0" borderId="0" xfId="0" applyFont="1" applyAlignment="1">
      <alignment horizontal="center" vertical="center"/>
    </xf>
    <xf numFmtId="174" fontId="1" fillId="0" borderId="0" xfId="0" applyNumberFormat="1" applyFont="1"/>
    <xf numFmtId="0" fontId="1" fillId="0" borderId="0" xfId="0" applyFont="1" applyAlignment="1">
      <alignment horizontal="left" vertical="center" wrapText="1"/>
    </xf>
    <xf numFmtId="0" fontId="0" fillId="0" borderId="0" xfId="0" applyAlignment="1"/>
    <xf numFmtId="0" fontId="14" fillId="2" borderId="5" xfId="6" applyAlignment="1"/>
    <xf numFmtId="9" fontId="14" fillId="2" borderId="5" xfId="6" applyNumberFormat="1"/>
  </cellXfs>
  <cellStyles count="7">
    <cellStyle name="Bad" xfId="5" builtinId="27"/>
    <cellStyle name="Calculation" xfId="3" builtinId="22"/>
    <cellStyle name="Heading 1" xfId="2" builtinId="16"/>
    <cellStyle name="Hyperlink" xfId="4" builtinId="8"/>
    <cellStyle name="Normal" xfId="0" builtinId="0"/>
    <cellStyle name="Output" xfId="6" builtinId="21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1141836935454797"/>
                  <c:y val="-0.12262650308246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'6.'!$D$7:$D$22</c:f>
              <c:numCache>
                <c:formatCode>0.000</c:formatCode>
                <c:ptCount val="16"/>
                <c:pt idx="0">
                  <c:v>-0.33311483471319503</c:v>
                </c:pt>
                <c:pt idx="1">
                  <c:v>-0.29925200265179647</c:v>
                </c:pt>
                <c:pt idx="2">
                  <c:v>-0.2655122357178093</c:v>
                </c:pt>
                <c:pt idx="3">
                  <c:v>-0.23189532982740668</c:v>
                </c:pt>
                <c:pt idx="4">
                  <c:v>-0.19840108111232541</c:v>
                </c:pt>
                <c:pt idx="5">
                  <c:v>-0.16502928591969981</c:v>
                </c:pt>
                <c:pt idx="6">
                  <c:v>-0.131779740811895</c:v>
                </c:pt>
                <c:pt idx="7">
                  <c:v>-9.8652242566342502E-2</c:v>
                </c:pt>
                <c:pt idx="8">
                  <c:v>-6.5646588175372042E-2</c:v>
                </c:pt>
                <c:pt idx="9">
                  <c:v>-3.2762574846047332E-2</c:v>
                </c:pt>
                <c:pt idx="10">
                  <c:v>3.2707985219099563E-3</c:v>
                </c:pt>
                <c:pt idx="11">
                  <c:v>3.2762574846047623E-2</c:v>
                </c:pt>
                <c:pt idx="12">
                  <c:v>6.5646588175372375E-2</c:v>
                </c:pt>
                <c:pt idx="13">
                  <c:v>9.8652242566342821E-2</c:v>
                </c:pt>
                <c:pt idx="14">
                  <c:v>0.13177974081189536</c:v>
                </c:pt>
                <c:pt idx="15">
                  <c:v>0.16502928591969981</c:v>
                </c:pt>
              </c:numCache>
            </c:numRef>
          </c:xVal>
          <c:yVal>
            <c:numRef>
              <c:f>'6.'!$F$7:$F$22</c:f>
              <c:numCache>
                <c:formatCode>0.00E+00</c:formatCode>
                <c:ptCount val="16"/>
                <c:pt idx="0">
                  <c:v>2.4206726205600935E-5</c:v>
                </c:pt>
                <c:pt idx="1">
                  <c:v>1.8073490070112517E-5</c:v>
                </c:pt>
                <c:pt idx="2">
                  <c:v>1.2860544878078879E-5</c:v>
                </c:pt>
                <c:pt idx="3">
                  <c:v>8.5534024197141349E-6</c:v>
                </c:pt>
                <c:pt idx="4">
                  <c:v>5.1377896283966336E-6</c:v>
                </c:pt>
                <c:pt idx="5">
                  <c:v>2.5994882224186326E-6</c:v>
                </c:pt>
                <c:pt idx="6">
                  <c:v>9.2444641635668559E-7</c:v>
                </c:pt>
                <c:pt idx="7">
                  <c:v>3.8925026724112289E-7</c:v>
                </c:pt>
                <c:pt idx="8">
                  <c:v>8.267938893356704E-7</c:v>
                </c:pt>
                <c:pt idx="9">
                  <c:v>1.4234198923917211E-6</c:v>
                </c:pt>
                <c:pt idx="10">
                  <c:v>2.7882401064574396E-6</c:v>
                </c:pt>
                <c:pt idx="11">
                  <c:v>5.0152241318051957E-6</c:v>
                </c:pt>
                <c:pt idx="12">
                  <c:v>8.2317643953749741E-6</c:v>
                </c:pt>
                <c:pt idx="13">
                  <c:v>1.2216885828044321E-5</c:v>
                </c:pt>
                <c:pt idx="14">
                  <c:v>1.6957369326116202E-5</c:v>
                </c:pt>
                <c:pt idx="15">
                  <c:v>2.2440360585973924E-5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42-414F-94B5-E4AAF4C19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139104"/>
        <c:axId val="784143440"/>
      </c:scatterChart>
      <c:valAx>
        <c:axId val="784139104"/>
        <c:scaling>
          <c:orientation val="minMax"/>
        </c:scaling>
        <c:delete val="0"/>
        <c:axPos val="b"/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143440"/>
        <c:crosses val="autoZero"/>
        <c:crossBetween val="midCat"/>
      </c:valAx>
      <c:valAx>
        <c:axId val="784143440"/>
        <c:scaling>
          <c:orientation val="minMax"/>
        </c:scaling>
        <c:delete val="0"/>
        <c:axPos val="l"/>
        <c:numFmt formatCode="0.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13910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1141836935454797"/>
                  <c:y val="-0.12262650308246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'6. problem'!$G$7:$G$22</c:f>
              <c:numCache>
                <c:formatCode>0.000</c:formatCode>
                <c:ptCount val="16"/>
                <c:pt idx="0">
                  <c:v>-0.33311483471319503</c:v>
                </c:pt>
                <c:pt idx="1">
                  <c:v>-0.29925200265179647</c:v>
                </c:pt>
                <c:pt idx="2">
                  <c:v>-0.2655122357178093</c:v>
                </c:pt>
                <c:pt idx="3">
                  <c:v>-0.23189532982740668</c:v>
                </c:pt>
                <c:pt idx="4">
                  <c:v>-0.19840108111232541</c:v>
                </c:pt>
                <c:pt idx="5">
                  <c:v>-0.16502928591969981</c:v>
                </c:pt>
                <c:pt idx="6">
                  <c:v>-0.131779740811895</c:v>
                </c:pt>
                <c:pt idx="7">
                  <c:v>-9.8652242566342502E-2</c:v>
                </c:pt>
                <c:pt idx="8">
                  <c:v>-6.5646588175372042E-2</c:v>
                </c:pt>
                <c:pt idx="9">
                  <c:v>-3.2762574846047332E-2</c:v>
                </c:pt>
                <c:pt idx="10">
                  <c:v>3.2707985219099563E-3</c:v>
                </c:pt>
                <c:pt idx="11">
                  <c:v>3.2762574846047623E-2</c:v>
                </c:pt>
                <c:pt idx="12">
                  <c:v>6.5646588175372375E-2</c:v>
                </c:pt>
                <c:pt idx="13">
                  <c:v>9.8652242566342821E-2</c:v>
                </c:pt>
                <c:pt idx="14">
                  <c:v>0.13177974081189536</c:v>
                </c:pt>
                <c:pt idx="15">
                  <c:v>0.16502928591969981</c:v>
                </c:pt>
              </c:numCache>
            </c:numRef>
          </c:xVal>
          <c:yVal>
            <c:numRef>
              <c:f>'6. problem'!$I$7:$I$22</c:f>
              <c:numCache>
                <c:formatCode>0.00E+00</c:formatCode>
                <c:ptCount val="16"/>
                <c:pt idx="0">
                  <c:v>2.4206726205600935E-5</c:v>
                </c:pt>
                <c:pt idx="1">
                  <c:v>1.8073490070112517E-5</c:v>
                </c:pt>
                <c:pt idx="2">
                  <c:v>1.2860544878078879E-5</c:v>
                </c:pt>
                <c:pt idx="3">
                  <c:v>8.5534024197141349E-6</c:v>
                </c:pt>
                <c:pt idx="4">
                  <c:v>5.1377896283966336E-6</c:v>
                </c:pt>
                <c:pt idx="5">
                  <c:v>2.5994882224186326E-6</c:v>
                </c:pt>
                <c:pt idx="6">
                  <c:v>9.2444641635668559E-7</c:v>
                </c:pt>
                <c:pt idx="7">
                  <c:v>3.8925026724112289E-7</c:v>
                </c:pt>
                <c:pt idx="8">
                  <c:v>8.267938893356704E-7</c:v>
                </c:pt>
                <c:pt idx="9">
                  <c:v>1.4234198923917211E-6</c:v>
                </c:pt>
                <c:pt idx="10">
                  <c:v>2.7882401064574396E-6</c:v>
                </c:pt>
                <c:pt idx="11">
                  <c:v>5.0152241318051957E-6</c:v>
                </c:pt>
                <c:pt idx="12">
                  <c:v>8.2317643953749741E-6</c:v>
                </c:pt>
                <c:pt idx="13">
                  <c:v>1.2216885828044321E-5</c:v>
                </c:pt>
                <c:pt idx="14">
                  <c:v>1.6957369326116202E-5</c:v>
                </c:pt>
                <c:pt idx="15">
                  <c:v>2.2440360585973924E-5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42-414F-94B5-E4AAF4C19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293328"/>
        <c:axId val="784297680"/>
      </c:scatterChart>
      <c:valAx>
        <c:axId val="784293328"/>
        <c:scaling>
          <c:orientation val="minMax"/>
        </c:scaling>
        <c:delete val="0"/>
        <c:axPos val="b"/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297680"/>
        <c:crosses val="autoZero"/>
        <c:crossBetween val="midCat"/>
      </c:valAx>
      <c:valAx>
        <c:axId val="784297680"/>
        <c:scaling>
          <c:orientation val="minMax"/>
        </c:scaling>
        <c:delete val="0"/>
        <c:axPos val="l"/>
        <c:numFmt formatCode="0.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29332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tiff"/><Relationship Id="rId2" Type="http://schemas.openxmlformats.org/officeDocument/2006/relationships/image" Target="../media/image4.tiff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tiff"/><Relationship Id="rId2" Type="http://schemas.openxmlformats.org/officeDocument/2006/relationships/image" Target="../media/image4.tiff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</xdr:colOff>
      <xdr:row>26</xdr:row>
      <xdr:rowOff>175261</xdr:rowOff>
    </xdr:from>
    <xdr:to>
      <xdr:col>12</xdr:col>
      <xdr:colOff>99060</xdr:colOff>
      <xdr:row>39</xdr:row>
      <xdr:rowOff>12073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1" y="4747261"/>
          <a:ext cx="2537459" cy="2214252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39</xdr:row>
      <xdr:rowOff>0</xdr:rowOff>
    </xdr:from>
    <xdr:to>
      <xdr:col>12</xdr:col>
      <xdr:colOff>134797</xdr:colOff>
      <xdr:row>50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1" y="6949440"/>
          <a:ext cx="2573196" cy="21640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17</xdr:row>
      <xdr:rowOff>1</xdr:rowOff>
    </xdr:from>
    <xdr:to>
      <xdr:col>8</xdr:col>
      <xdr:colOff>458761</xdr:colOff>
      <xdr:row>36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948941"/>
          <a:ext cx="5198400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5</xdr:row>
      <xdr:rowOff>7620</xdr:rowOff>
    </xdr:from>
    <xdr:to>
      <xdr:col>14</xdr:col>
      <xdr:colOff>0</xdr:colOff>
      <xdr:row>21</xdr:row>
      <xdr:rowOff>175260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12700</xdr:colOff>
      <xdr:row>31</xdr:row>
      <xdr:rowOff>38100</xdr:rowOff>
    </xdr:from>
    <xdr:to>
      <xdr:col>6</xdr:col>
      <xdr:colOff>332740</xdr:colOff>
      <xdr:row>65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6756400"/>
          <a:ext cx="6197600" cy="6540500"/>
        </a:xfrm>
        <a:prstGeom prst="rect">
          <a:avLst/>
        </a:prstGeom>
      </xdr:spPr>
    </xdr:pic>
    <xdr:clientData/>
  </xdr:twoCellAnchor>
  <xdr:twoCellAnchor editAs="oneCell">
    <xdr:from>
      <xdr:col>6</xdr:col>
      <xdr:colOff>51862</xdr:colOff>
      <xdr:row>31</xdr:row>
      <xdr:rowOff>101600</xdr:rowOff>
    </xdr:from>
    <xdr:to>
      <xdr:col>15</xdr:col>
      <xdr:colOff>304800</xdr:colOff>
      <xdr:row>63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63762" y="6819900"/>
          <a:ext cx="6260038" cy="6121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5</xdr:row>
      <xdr:rowOff>7620</xdr:rowOff>
    </xdr:from>
    <xdr:to>
      <xdr:col>17</xdr:col>
      <xdr:colOff>0</xdr:colOff>
      <xdr:row>21</xdr:row>
      <xdr:rowOff>175260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12700</xdr:colOff>
      <xdr:row>31</xdr:row>
      <xdr:rowOff>38100</xdr:rowOff>
    </xdr:from>
    <xdr:to>
      <xdr:col>5</xdr:col>
      <xdr:colOff>713740</xdr:colOff>
      <xdr:row>65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6756400"/>
          <a:ext cx="6197600" cy="6540500"/>
        </a:xfrm>
        <a:prstGeom prst="rect">
          <a:avLst/>
        </a:prstGeom>
      </xdr:spPr>
    </xdr:pic>
    <xdr:clientData/>
  </xdr:twoCellAnchor>
  <xdr:twoCellAnchor editAs="oneCell">
    <xdr:from>
      <xdr:col>6</xdr:col>
      <xdr:colOff>51862</xdr:colOff>
      <xdr:row>31</xdr:row>
      <xdr:rowOff>101600</xdr:rowOff>
    </xdr:from>
    <xdr:to>
      <xdr:col>15</xdr:col>
      <xdr:colOff>22860</xdr:colOff>
      <xdr:row>63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63762" y="6819900"/>
          <a:ext cx="6260038" cy="6121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317500</xdr:colOff>
      <xdr:row>4</xdr:row>
      <xdr:rowOff>38100</xdr:rowOff>
    </xdr:from>
    <xdr:to>
      <xdr:col>18</xdr:col>
      <xdr:colOff>577930</xdr:colOff>
      <xdr:row>55</xdr:row>
      <xdr:rowOff>35560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23000" y="889000"/>
          <a:ext cx="8959930" cy="9969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10</xdr:row>
      <xdr:rowOff>0</xdr:rowOff>
    </xdr:from>
    <xdr:to>
      <xdr:col>6</xdr:col>
      <xdr:colOff>393890</xdr:colOff>
      <xdr:row>48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461A5C-6269-414C-9192-C3333478A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2095500"/>
          <a:ext cx="4874448" cy="694944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13</xdr:col>
      <xdr:colOff>59931</xdr:colOff>
      <xdr:row>48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CB13218-2173-464D-85D4-4C9E1055F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6340" y="2095500"/>
          <a:ext cx="4883391" cy="6949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journals.aps.org/prl/abstract/10.1103/PhysRevLett.79.3845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54"/>
  <sheetViews>
    <sheetView workbookViewId="0">
      <selection activeCell="A2" sqref="A2"/>
    </sheetView>
  </sheetViews>
  <sheetFormatPr defaultColWidth="8.77734375" defaultRowHeight="14.4" x14ac:dyDescent="0.3"/>
  <sheetData>
    <row r="1" spans="1:6" s="24" customFormat="1" ht="20.399999999999999" thickBot="1" x14ac:dyDescent="0.45">
      <c r="A1" s="24" t="s">
        <v>64</v>
      </c>
    </row>
    <row r="2" spans="1:6" ht="15" thickTop="1" x14ac:dyDescent="0.3"/>
    <row r="3" spans="1:6" x14ac:dyDescent="0.3">
      <c r="A3" s="16" t="s">
        <v>0</v>
      </c>
      <c r="B3" s="16" t="s">
        <v>1</v>
      </c>
      <c r="C3" s="16" t="s">
        <v>2</v>
      </c>
      <c r="D3" s="16" t="s">
        <v>3</v>
      </c>
      <c r="E3" s="16" t="s">
        <v>4</v>
      </c>
      <c r="F3" s="4"/>
    </row>
    <row r="4" spans="1:6" x14ac:dyDescent="0.3">
      <c r="A4" s="1">
        <v>0.63639610000000002</v>
      </c>
      <c r="B4" s="1">
        <v>-0.70710680000000004</v>
      </c>
      <c r="C4" s="1">
        <v>0</v>
      </c>
      <c r="D4" s="1">
        <v>0</v>
      </c>
      <c r="E4" s="1">
        <v>-0.35373399999999999</v>
      </c>
      <c r="F4" s="4" t="s">
        <v>0</v>
      </c>
    </row>
    <row r="5" spans="1:6" x14ac:dyDescent="0.3">
      <c r="A5" s="1">
        <v>0.84145709999999996</v>
      </c>
      <c r="B5" s="1">
        <v>0.63639610000000002</v>
      </c>
      <c r="C5" s="1">
        <v>0</v>
      </c>
      <c r="D5" s="1">
        <v>0</v>
      </c>
      <c r="E5" s="1">
        <v>-0.1818948</v>
      </c>
      <c r="F5" s="4" t="s">
        <v>1</v>
      </c>
    </row>
    <row r="6" spans="1:6" x14ac:dyDescent="0.3">
      <c r="A6" s="1">
        <v>0</v>
      </c>
      <c r="B6" s="1">
        <v>0</v>
      </c>
      <c r="C6" s="1">
        <v>1</v>
      </c>
      <c r="D6" s="1">
        <v>0</v>
      </c>
      <c r="E6" s="1">
        <v>0</v>
      </c>
      <c r="F6" s="4" t="s">
        <v>2</v>
      </c>
    </row>
    <row r="7" spans="1:6" x14ac:dyDescent="0.3">
      <c r="A7" s="1">
        <v>0</v>
      </c>
      <c r="B7" s="1">
        <v>0</v>
      </c>
      <c r="C7" s="1">
        <v>0.9853982</v>
      </c>
      <c r="D7" s="1">
        <v>1</v>
      </c>
      <c r="E7" s="1">
        <v>0</v>
      </c>
      <c r="F7" s="4" t="s">
        <v>3</v>
      </c>
    </row>
    <row r="8" spans="1:6" x14ac:dyDescent="0.3">
      <c r="A8" s="1">
        <v>0</v>
      </c>
      <c r="B8" s="1">
        <v>0</v>
      </c>
      <c r="C8" s="1">
        <v>0</v>
      </c>
      <c r="D8" s="1">
        <v>0</v>
      </c>
      <c r="E8" s="1">
        <v>1</v>
      </c>
      <c r="F8" s="4" t="s">
        <v>4</v>
      </c>
    </row>
    <row r="9" spans="1:6" x14ac:dyDescent="0.3">
      <c r="A9" s="1">
        <v>0.1818948</v>
      </c>
      <c r="B9" s="1">
        <v>0.35373399999999999</v>
      </c>
      <c r="C9" s="1">
        <v>0</v>
      </c>
      <c r="D9" s="1">
        <v>0</v>
      </c>
      <c r="E9" s="1">
        <v>0.22650500000000001</v>
      </c>
      <c r="F9" s="4" t="s">
        <v>11</v>
      </c>
    </row>
    <row r="11" spans="1:6" x14ac:dyDescent="0.3">
      <c r="A11" t="s">
        <v>5</v>
      </c>
      <c r="B11" s="2">
        <f>A4</f>
        <v>0.63639610000000002</v>
      </c>
      <c r="D11" t="s">
        <v>25</v>
      </c>
    </row>
    <row r="12" spans="1:6" x14ac:dyDescent="0.3">
      <c r="A12" t="s">
        <v>6</v>
      </c>
      <c r="B12" s="2">
        <f>A5</f>
        <v>0.84145709999999996</v>
      </c>
      <c r="D12" t="s">
        <v>21</v>
      </c>
    </row>
    <row r="13" spans="1:6" x14ac:dyDescent="0.3">
      <c r="A13" t="s">
        <v>12</v>
      </c>
      <c r="B13" s="2">
        <f>A9</f>
        <v>0.1818948</v>
      </c>
      <c r="D13" t="s">
        <v>20</v>
      </c>
    </row>
    <row r="14" spans="1:6" x14ac:dyDescent="0.3">
      <c r="A14" t="s">
        <v>9</v>
      </c>
      <c r="B14" s="2">
        <f>B4</f>
        <v>-0.70710680000000004</v>
      </c>
      <c r="D14" t="s">
        <v>23</v>
      </c>
    </row>
    <row r="15" spans="1:6" x14ac:dyDescent="0.3">
      <c r="A15" t="s">
        <v>7</v>
      </c>
      <c r="B15" s="2">
        <f>B5</f>
        <v>0.63639610000000002</v>
      </c>
      <c r="D15" t="s">
        <v>24</v>
      </c>
    </row>
    <row r="16" spans="1:6" x14ac:dyDescent="0.3">
      <c r="A16" t="s">
        <v>13</v>
      </c>
      <c r="B16" s="2">
        <f>B9</f>
        <v>0.35373399999999999</v>
      </c>
      <c r="D16" t="s">
        <v>22</v>
      </c>
    </row>
    <row r="17" spans="1:4" x14ac:dyDescent="0.3">
      <c r="A17" t="s">
        <v>14</v>
      </c>
      <c r="B17" s="2">
        <f>C6</f>
        <v>1</v>
      </c>
      <c r="D17" t="s">
        <v>26</v>
      </c>
    </row>
    <row r="18" spans="1:4" x14ac:dyDescent="0.3">
      <c r="A18" t="s">
        <v>15</v>
      </c>
      <c r="B18" s="2">
        <f>C7</f>
        <v>0.9853982</v>
      </c>
      <c r="D18" t="s">
        <v>27</v>
      </c>
    </row>
    <row r="19" spans="1:4" x14ac:dyDescent="0.3">
      <c r="A19" t="s">
        <v>16</v>
      </c>
      <c r="B19" s="2">
        <f>D6</f>
        <v>0</v>
      </c>
      <c r="D19" t="s">
        <v>28</v>
      </c>
    </row>
    <row r="20" spans="1:4" x14ac:dyDescent="0.3">
      <c r="A20" t="s">
        <v>17</v>
      </c>
      <c r="B20" s="2">
        <f>D7</f>
        <v>1</v>
      </c>
      <c r="D20" t="s">
        <v>29</v>
      </c>
    </row>
    <row r="21" spans="1:4" x14ac:dyDescent="0.3">
      <c r="A21" t="s">
        <v>8</v>
      </c>
      <c r="B21" s="2">
        <f>E4</f>
        <v>-0.35373399999999999</v>
      </c>
    </row>
    <row r="22" spans="1:4" x14ac:dyDescent="0.3">
      <c r="A22" t="s">
        <v>10</v>
      </c>
      <c r="B22" s="2">
        <f>E5</f>
        <v>-0.1818948</v>
      </c>
    </row>
    <row r="23" spans="1:4" x14ac:dyDescent="0.3">
      <c r="A23" t="s">
        <v>18</v>
      </c>
      <c r="B23" s="2">
        <f>E8</f>
        <v>1</v>
      </c>
    </row>
    <row r="24" spans="1:4" x14ac:dyDescent="0.3">
      <c r="A24" t="s">
        <v>19</v>
      </c>
      <c r="B24" s="2">
        <f>E9</f>
        <v>0.22650500000000001</v>
      </c>
    </row>
    <row r="27" spans="1:4" x14ac:dyDescent="0.3">
      <c r="A27" s="4" t="s">
        <v>93</v>
      </c>
    </row>
    <row r="28" spans="1:4" x14ac:dyDescent="0.3">
      <c r="A28" t="s">
        <v>30</v>
      </c>
    </row>
    <row r="29" spans="1:4" x14ac:dyDescent="0.3">
      <c r="A29" t="s">
        <v>31</v>
      </c>
    </row>
    <row r="30" spans="1:4" x14ac:dyDescent="0.3">
      <c r="A30" t="s">
        <v>32</v>
      </c>
    </row>
    <row r="31" spans="1:4" x14ac:dyDescent="0.3">
      <c r="A31" t="s">
        <v>33</v>
      </c>
    </row>
    <row r="32" spans="1:4" x14ac:dyDescent="0.3">
      <c r="A32" t="s">
        <v>34</v>
      </c>
    </row>
    <row r="33" spans="1:1" x14ac:dyDescent="0.3">
      <c r="A33" t="s">
        <v>35</v>
      </c>
    </row>
    <row r="34" spans="1:1" x14ac:dyDescent="0.3">
      <c r="A34" t="s">
        <v>36</v>
      </c>
    </row>
    <row r="35" spans="1:1" x14ac:dyDescent="0.3">
      <c r="A35" t="s">
        <v>37</v>
      </c>
    </row>
    <row r="37" spans="1:1" x14ac:dyDescent="0.3">
      <c r="A37" t="s">
        <v>38</v>
      </c>
    </row>
    <row r="38" spans="1:1" x14ac:dyDescent="0.3">
      <c r="A38" t="s">
        <v>39</v>
      </c>
    </row>
    <row r="40" spans="1:1" x14ac:dyDescent="0.3">
      <c r="A40" t="s">
        <v>40</v>
      </c>
    </row>
    <row r="41" spans="1:1" x14ac:dyDescent="0.3">
      <c r="A41" t="s">
        <v>41</v>
      </c>
    </row>
    <row r="42" spans="1:1" x14ac:dyDescent="0.3">
      <c r="A42" t="s">
        <v>40</v>
      </c>
    </row>
    <row r="43" spans="1:1" x14ac:dyDescent="0.3">
      <c r="A43" t="s">
        <v>35</v>
      </c>
    </row>
    <row r="44" spans="1:1" x14ac:dyDescent="0.3">
      <c r="A44" t="s">
        <v>42</v>
      </c>
    </row>
    <row r="45" spans="1:1" x14ac:dyDescent="0.3">
      <c r="A45" t="s">
        <v>43</v>
      </c>
    </row>
    <row r="47" spans="1:1" x14ac:dyDescent="0.3">
      <c r="A47" t="s">
        <v>44</v>
      </c>
    </row>
    <row r="48" spans="1:1" x14ac:dyDescent="0.3">
      <c r="A48" t="s">
        <v>45</v>
      </c>
    </row>
    <row r="50" spans="1:1" x14ac:dyDescent="0.3">
      <c r="A50" t="s">
        <v>46</v>
      </c>
    </row>
    <row r="51" spans="1:1" x14ac:dyDescent="0.3">
      <c r="A51" t="s">
        <v>47</v>
      </c>
    </row>
    <row r="54" spans="1:1" x14ac:dyDescent="0.3">
      <c r="A54" t="s">
        <v>63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6"/>
  <sheetViews>
    <sheetView workbookViewId="0">
      <selection activeCell="A2" sqref="A2"/>
    </sheetView>
  </sheetViews>
  <sheetFormatPr defaultColWidth="8.77734375" defaultRowHeight="14.4" x14ac:dyDescent="0.3"/>
  <cols>
    <col min="1" max="1" width="13.109375" customWidth="1"/>
    <col min="8" max="8" width="2.44140625" bestFit="1" customWidth="1"/>
    <col min="9" max="9" width="75.44140625" bestFit="1" customWidth="1"/>
  </cols>
  <sheetData>
    <row r="1" spans="1:9" s="26" customFormat="1" ht="20.399999999999999" thickBot="1" x14ac:dyDescent="0.45">
      <c r="A1" s="26" t="s">
        <v>65</v>
      </c>
    </row>
    <row r="2" spans="1:9" ht="15" thickTop="1" x14ac:dyDescent="0.3">
      <c r="A2" s="4"/>
    </row>
    <row r="3" spans="1:9" x14ac:dyDescent="0.3">
      <c r="A3" t="s">
        <v>48</v>
      </c>
      <c r="H3" s="25" t="s">
        <v>68</v>
      </c>
      <c r="I3" s="25"/>
    </row>
    <row r="4" spans="1:9" x14ac:dyDescent="0.3">
      <c r="A4" t="s">
        <v>56</v>
      </c>
      <c r="H4" t="s">
        <v>70</v>
      </c>
      <c r="I4" t="s">
        <v>71</v>
      </c>
    </row>
    <row r="5" spans="1:9" x14ac:dyDescent="0.3">
      <c r="H5" t="s">
        <v>69</v>
      </c>
      <c r="I5" t="s">
        <v>72</v>
      </c>
    </row>
    <row r="6" spans="1:9" x14ac:dyDescent="0.3">
      <c r="A6" t="s">
        <v>50</v>
      </c>
      <c r="B6" t="s">
        <v>59</v>
      </c>
      <c r="H6" s="7" t="s">
        <v>82</v>
      </c>
      <c r="I6" s="5">
        <f>(3.463-3.343)/(0.5*(3.463+3.343))/2</f>
        <v>1.7631501616220999E-2</v>
      </c>
    </row>
    <row r="7" spans="1:9" x14ac:dyDescent="0.3">
      <c r="A7" t="s">
        <v>51</v>
      </c>
      <c r="B7" t="s">
        <v>60</v>
      </c>
      <c r="I7" t="s">
        <v>85</v>
      </c>
    </row>
    <row r="8" spans="1:9" x14ac:dyDescent="0.3">
      <c r="A8" t="s">
        <v>52</v>
      </c>
      <c r="B8" t="s">
        <v>61</v>
      </c>
    </row>
    <row r="9" spans="1:9" x14ac:dyDescent="0.3">
      <c r="A9" t="s">
        <v>53</v>
      </c>
      <c r="B9" t="s">
        <v>62</v>
      </c>
    </row>
    <row r="11" spans="1:9" x14ac:dyDescent="0.3">
      <c r="A11" t="s">
        <v>54</v>
      </c>
      <c r="B11">
        <f>(3.441-3.293)*24/23*23</f>
        <v>3.5519999999999929</v>
      </c>
      <c r="C11" t="s">
        <v>49</v>
      </c>
      <c r="D11" t="s">
        <v>55</v>
      </c>
      <c r="E11" t="s">
        <v>83</v>
      </c>
    </row>
    <row r="12" spans="1:9" x14ac:dyDescent="0.3">
      <c r="A12" t="s">
        <v>57</v>
      </c>
      <c r="B12">
        <v>0</v>
      </c>
      <c r="C12" t="s">
        <v>49</v>
      </c>
    </row>
    <row r="13" spans="1:9" x14ac:dyDescent="0.3">
      <c r="A13" t="s">
        <v>58</v>
      </c>
      <c r="B13">
        <v>0</v>
      </c>
      <c r="C13" t="s">
        <v>49</v>
      </c>
    </row>
    <row r="15" spans="1:9" ht="16.2" x14ac:dyDescent="0.3">
      <c r="A15" s="3" t="s">
        <v>66</v>
      </c>
    </row>
    <row r="16" spans="1:9" x14ac:dyDescent="0.3">
      <c r="A16" s="3" t="s">
        <v>67</v>
      </c>
    </row>
  </sheetData>
  <mergeCells count="2">
    <mergeCell ref="H3:I3"/>
    <mergeCell ref="A1:XFD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>
      <selection activeCell="A2" sqref="A2"/>
    </sheetView>
  </sheetViews>
  <sheetFormatPr defaultColWidth="8.77734375" defaultRowHeight="14.4" x14ac:dyDescent="0.3"/>
  <sheetData>
    <row r="1" spans="1:1" s="26" customFormat="1" ht="20.399999999999999" thickBot="1" x14ac:dyDescent="0.45">
      <c r="A1" s="26" t="s">
        <v>73</v>
      </c>
    </row>
    <row r="2" spans="1:1" ht="15" thickTop="1" x14ac:dyDescent="0.3"/>
    <row r="3" spans="1:1" x14ac:dyDescent="0.3">
      <c r="A3" t="s">
        <v>92</v>
      </c>
    </row>
    <row r="4" spans="1:1" x14ac:dyDescent="0.3">
      <c r="A4" s="6" t="s">
        <v>74</v>
      </c>
    </row>
    <row r="5" spans="1:1" x14ac:dyDescent="0.3">
      <c r="A5" t="s">
        <v>84</v>
      </c>
    </row>
  </sheetData>
  <mergeCells count="1">
    <mergeCell ref="A1:XFD1"/>
  </mergeCells>
  <hyperlinks>
    <hyperlink ref="A4" r:id="rId1" xr:uid="{00000000-0004-0000-0200-000000000000}"/>
  </hyperlinks>
  <pageMargins left="0.7" right="0.7" top="0.75" bottom="0.75" header="0.3" footer="0.3"/>
  <pageSetup orientation="portrait" horizontalDpi="4294967295" verticalDpi="4294967295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8"/>
  <sheetViews>
    <sheetView topLeftCell="A20" workbookViewId="0">
      <selection activeCell="B4" sqref="B4"/>
    </sheetView>
  </sheetViews>
  <sheetFormatPr defaultColWidth="8.77734375" defaultRowHeight="14.4" x14ac:dyDescent="0.3"/>
  <cols>
    <col min="1" max="1" width="21.44140625" bestFit="1" customWidth="1"/>
    <col min="2" max="2" width="17.88671875" bestFit="1" customWidth="1"/>
    <col min="3" max="3" width="8.44140625" bestFit="1" customWidth="1"/>
    <col min="4" max="4" width="7.44140625" bestFit="1" customWidth="1"/>
    <col min="5" max="5" width="14.109375" bestFit="1" customWidth="1"/>
    <col min="6" max="6" width="8.21875" bestFit="1" customWidth="1"/>
    <col min="8" max="8" width="8.109375" bestFit="1" customWidth="1"/>
  </cols>
  <sheetData>
    <row r="1" spans="1:6" s="26" customFormat="1" ht="20.399999999999999" thickBot="1" x14ac:dyDescent="0.45">
      <c r="A1" s="26" t="s">
        <v>75</v>
      </c>
    </row>
    <row r="2" spans="1:6" ht="15" thickTop="1" x14ac:dyDescent="0.3">
      <c r="A2" s="4"/>
    </row>
    <row r="3" spans="1:6" x14ac:dyDescent="0.3">
      <c r="A3" s="12" t="s">
        <v>76</v>
      </c>
      <c r="B3">
        <f>0.5+2.365+0.5+0.26+0.28+0.26+1.75</f>
        <v>5.915</v>
      </c>
      <c r="C3" t="s">
        <v>77</v>
      </c>
    </row>
    <row r="4" spans="1:6" x14ac:dyDescent="0.3">
      <c r="A4" s="12" t="s">
        <v>98</v>
      </c>
      <c r="B4">
        <v>0.8</v>
      </c>
    </row>
    <row r="5" spans="1:6" x14ac:dyDescent="0.3">
      <c r="A5" s="12" t="s">
        <v>103</v>
      </c>
      <c r="B5">
        <v>0.34010000000000001</v>
      </c>
    </row>
    <row r="6" spans="1:6" ht="30" x14ac:dyDescent="0.3">
      <c r="A6" s="8" t="s">
        <v>101</v>
      </c>
      <c r="B6" s="8" t="s">
        <v>100</v>
      </c>
      <c r="C6" s="8" t="s">
        <v>109</v>
      </c>
      <c r="D6" s="8" t="s">
        <v>102</v>
      </c>
      <c r="E6" s="8" t="s">
        <v>104</v>
      </c>
      <c r="F6" s="8" t="s">
        <v>105</v>
      </c>
    </row>
    <row r="7" spans="1:6" x14ac:dyDescent="0.3">
      <c r="A7" s="9">
        <v>-0.1</v>
      </c>
      <c r="B7" s="10">
        <f t="shared" ref="B7:B22" si="0">A7/0.13</f>
        <v>-0.76923076923076927</v>
      </c>
      <c r="C7" s="10">
        <f>SQRT(ABS(B7)/B$4)</f>
        <v>0.98058067569092022</v>
      </c>
      <c r="D7" s="10">
        <f t="shared" ref="D7:D15" si="1">-C7*SINH(C7*B$5)</f>
        <v>-0.33311483471319503</v>
      </c>
      <c r="E7" s="11">
        <v>4.9200331508640199E-3</v>
      </c>
      <c r="F7" s="11">
        <f t="shared" ref="F7:F22" si="2">E7^2</f>
        <v>2.4206726205600935E-5</v>
      </c>
    </row>
    <row r="8" spans="1:6" x14ac:dyDescent="0.3">
      <c r="A8" s="9">
        <v>-0.09</v>
      </c>
      <c r="B8" s="10">
        <f t="shared" si="0"/>
        <v>-0.69230769230769229</v>
      </c>
      <c r="C8" s="10">
        <f t="shared" ref="C8:C22" si="3">SQRT(ABS(B8)/B$4)</f>
        <v>0.93026050941906335</v>
      </c>
      <c r="D8" s="10">
        <f t="shared" si="1"/>
        <v>-0.29925200265179647</v>
      </c>
      <c r="E8" s="11">
        <v>4.2512927528120803E-3</v>
      </c>
      <c r="F8" s="11">
        <f t="shared" si="2"/>
        <v>1.8073490070112517E-5</v>
      </c>
    </row>
    <row r="9" spans="1:6" x14ac:dyDescent="0.3">
      <c r="A9" s="9">
        <v>-0.08</v>
      </c>
      <c r="B9" s="10">
        <f t="shared" si="0"/>
        <v>-0.61538461538461542</v>
      </c>
      <c r="C9" s="10">
        <f t="shared" si="3"/>
        <v>0.8770580193070292</v>
      </c>
      <c r="D9" s="10">
        <f t="shared" si="1"/>
        <v>-0.2655122357178093</v>
      </c>
      <c r="E9" s="11">
        <v>3.5861601857807299E-3</v>
      </c>
      <c r="F9" s="11">
        <f t="shared" si="2"/>
        <v>1.2860544878078879E-5</v>
      </c>
    </row>
    <row r="10" spans="1:6" x14ac:dyDescent="0.3">
      <c r="A10" s="9">
        <v>-7.0000000000000007E-2</v>
      </c>
      <c r="B10" s="10">
        <f t="shared" si="0"/>
        <v>-0.53846153846153855</v>
      </c>
      <c r="C10" s="10">
        <f t="shared" si="3"/>
        <v>0.82041265414236697</v>
      </c>
      <c r="D10" s="10">
        <f t="shared" si="1"/>
        <v>-0.23189532982740668</v>
      </c>
      <c r="E10" s="11">
        <v>2.9246200470683598E-3</v>
      </c>
      <c r="F10" s="11">
        <f t="shared" si="2"/>
        <v>8.5534024197141349E-6</v>
      </c>
    </row>
    <row r="11" spans="1:6" x14ac:dyDescent="0.3">
      <c r="A11" s="9">
        <v>-0.06</v>
      </c>
      <c r="B11" s="10">
        <f t="shared" si="0"/>
        <v>-0.46153846153846151</v>
      </c>
      <c r="C11" s="10">
        <f t="shared" si="3"/>
        <v>0.75955452531274992</v>
      </c>
      <c r="D11" s="10">
        <f t="shared" si="1"/>
        <v>-0.19840108111232541</v>
      </c>
      <c r="E11" s="11">
        <v>2.2666692807722598E-3</v>
      </c>
      <c r="F11" s="11">
        <f t="shared" si="2"/>
        <v>5.1377896283966336E-6</v>
      </c>
    </row>
    <row r="12" spans="1:6" x14ac:dyDescent="0.3">
      <c r="A12" s="9">
        <v>-0.05</v>
      </c>
      <c r="B12" s="10">
        <f t="shared" si="0"/>
        <v>-0.38461538461538464</v>
      </c>
      <c r="C12" s="10">
        <f t="shared" si="3"/>
        <v>0.69337524528153638</v>
      </c>
      <c r="D12" s="10">
        <f t="shared" si="1"/>
        <v>-0.16502928591969981</v>
      </c>
      <c r="E12" s="11">
        <v>1.6122928463584501E-3</v>
      </c>
      <c r="F12" s="11">
        <f t="shared" si="2"/>
        <v>2.5994882224186326E-6</v>
      </c>
    </row>
    <row r="13" spans="1:6" x14ac:dyDescent="0.3">
      <c r="A13" s="9">
        <v>-3.9999999999999897E-2</v>
      </c>
      <c r="B13" s="10">
        <f t="shared" si="0"/>
        <v>-0.30769230769230688</v>
      </c>
      <c r="C13" s="10">
        <f t="shared" si="3"/>
        <v>0.62017367294604142</v>
      </c>
      <c r="D13" s="10">
        <f t="shared" si="1"/>
        <v>-0.131779740811895</v>
      </c>
      <c r="E13" s="11">
        <v>9.6148136557953402E-4</v>
      </c>
      <c r="F13" s="11">
        <f t="shared" si="2"/>
        <v>9.2444641635668559E-7</v>
      </c>
    </row>
    <row r="14" spans="1:6" x14ac:dyDescent="0.3">
      <c r="A14" s="9">
        <v>-2.9999999999999898E-2</v>
      </c>
      <c r="B14" s="10">
        <f t="shared" si="0"/>
        <v>-0.23076923076922998</v>
      </c>
      <c r="C14" s="10">
        <f t="shared" si="3"/>
        <v>0.53708615552957373</v>
      </c>
      <c r="D14" s="10">
        <f t="shared" si="1"/>
        <v>-9.8652242566342502E-2</v>
      </c>
      <c r="E14" s="21">
        <v>6.2389924446269599E-4</v>
      </c>
      <c r="F14" s="11">
        <f t="shared" si="2"/>
        <v>3.8925026724112289E-7</v>
      </c>
    </row>
    <row r="15" spans="1:6" x14ac:dyDescent="0.3">
      <c r="A15" s="9">
        <v>-1.99999999999999E-2</v>
      </c>
      <c r="B15" s="10">
        <f t="shared" si="0"/>
        <v>-0.15384615384615308</v>
      </c>
      <c r="C15" s="10">
        <f t="shared" si="3"/>
        <v>0.43852900965351349</v>
      </c>
      <c r="D15" s="10">
        <f t="shared" si="1"/>
        <v>-6.5646588175372042E-2</v>
      </c>
      <c r="E15" s="11">
        <v>9.0928207358094903E-4</v>
      </c>
      <c r="F15" s="11">
        <f t="shared" si="2"/>
        <v>8.267938893356704E-7</v>
      </c>
    </row>
    <row r="16" spans="1:6" x14ac:dyDescent="0.3">
      <c r="A16" s="9">
        <v>-9.99999999999991E-3</v>
      </c>
      <c r="B16" s="10">
        <f t="shared" si="0"/>
        <v>-7.6923076923076233E-2</v>
      </c>
      <c r="C16" s="10">
        <f t="shared" si="3"/>
        <v>0.31008683647301977</v>
      </c>
      <c r="D16" s="10">
        <f>-C16*SINH(C16*B$5)</f>
        <v>-3.2762574846047332E-2</v>
      </c>
      <c r="E16" s="11">
        <v>1.19307162081399E-3</v>
      </c>
      <c r="F16" s="11">
        <f t="shared" si="2"/>
        <v>1.4234198923917211E-6</v>
      </c>
    </row>
    <row r="17" spans="1:10" x14ac:dyDescent="0.3">
      <c r="A17" s="9">
        <v>1E-3</v>
      </c>
      <c r="B17" s="10">
        <f t="shared" si="0"/>
        <v>7.6923076923076919E-3</v>
      </c>
      <c r="C17" s="10">
        <f t="shared" si="3"/>
        <v>9.8058067569092008E-2</v>
      </c>
      <c r="D17" s="10">
        <f t="shared" ref="D17:D21" si="4">C17*SINH(C17*B$5)</f>
        <v>3.2707985219099563E-3</v>
      </c>
      <c r="E17" s="11">
        <v>1.6698024153945399E-3</v>
      </c>
      <c r="F17" s="11">
        <f t="shared" si="2"/>
        <v>2.7882401064574396E-6</v>
      </c>
    </row>
    <row r="18" spans="1:10" x14ac:dyDescent="0.3">
      <c r="A18" s="9">
        <v>0.01</v>
      </c>
      <c r="B18" s="10">
        <f t="shared" si="0"/>
        <v>7.6923076923076927E-2</v>
      </c>
      <c r="C18" s="10">
        <f t="shared" si="3"/>
        <v>0.31008683647302115</v>
      </c>
      <c r="D18" s="10">
        <f t="shared" si="4"/>
        <v>3.2762574846047623E-2</v>
      </c>
      <c r="E18" s="11">
        <v>2.2394696094846199E-3</v>
      </c>
      <c r="F18" s="11">
        <f t="shared" si="2"/>
        <v>5.0152241318051957E-6</v>
      </c>
    </row>
    <row r="19" spans="1:10" x14ac:dyDescent="0.3">
      <c r="A19" s="9">
        <v>0.02</v>
      </c>
      <c r="B19" s="10">
        <f t="shared" si="0"/>
        <v>0.15384615384615385</v>
      </c>
      <c r="C19" s="10">
        <f t="shared" si="3"/>
        <v>0.4385290096535146</v>
      </c>
      <c r="D19" s="10">
        <f t="shared" si="4"/>
        <v>6.5646588175372375E-2</v>
      </c>
      <c r="E19" s="11">
        <v>2.8691051558586999E-3</v>
      </c>
      <c r="F19" s="11">
        <f t="shared" si="2"/>
        <v>8.2317643953749741E-6</v>
      </c>
    </row>
    <row r="20" spans="1:10" x14ac:dyDescent="0.3">
      <c r="A20" s="9">
        <v>0.03</v>
      </c>
      <c r="B20" s="10">
        <f t="shared" si="0"/>
        <v>0.23076923076923075</v>
      </c>
      <c r="C20" s="10">
        <f t="shared" si="3"/>
        <v>0.53708615552957462</v>
      </c>
      <c r="D20" s="10">
        <f t="shared" si="4"/>
        <v>9.8652242566342821E-2</v>
      </c>
      <c r="E20" s="11">
        <v>3.4952662027439799E-3</v>
      </c>
      <c r="F20" s="11">
        <f t="shared" si="2"/>
        <v>1.2216885828044321E-5</v>
      </c>
    </row>
    <row r="21" spans="1:10" x14ac:dyDescent="0.3">
      <c r="A21" s="9">
        <v>0.04</v>
      </c>
      <c r="B21" s="10">
        <f t="shared" si="0"/>
        <v>0.30769230769230771</v>
      </c>
      <c r="C21" s="10">
        <f t="shared" si="3"/>
        <v>0.62017367294604231</v>
      </c>
      <c r="D21" s="10">
        <f t="shared" si="4"/>
        <v>0.13177974081189536</v>
      </c>
      <c r="E21" s="11">
        <v>4.1179326519645999E-3</v>
      </c>
      <c r="F21" s="11">
        <f t="shared" si="2"/>
        <v>1.6957369326116202E-5</v>
      </c>
    </row>
    <row r="22" spans="1:10" x14ac:dyDescent="0.3">
      <c r="A22" s="9">
        <v>0.05</v>
      </c>
      <c r="B22" s="10">
        <f t="shared" si="0"/>
        <v>0.38461538461538464</v>
      </c>
      <c r="C22" s="10">
        <f t="shared" si="3"/>
        <v>0.69337524528153638</v>
      </c>
      <c r="D22" s="10">
        <f>C22*SINH(C22*B$5)</f>
        <v>0.16502928591969981</v>
      </c>
      <c r="E22" s="11">
        <v>4.7371257726572897E-3</v>
      </c>
      <c r="F22" s="11">
        <f t="shared" si="2"/>
        <v>2.2440360585973924E-5</v>
      </c>
    </row>
    <row r="24" spans="1:10" x14ac:dyDescent="0.3">
      <c r="A24" s="4" t="s">
        <v>86</v>
      </c>
    </row>
    <row r="25" spans="1:10" ht="15.6" x14ac:dyDescent="0.35">
      <c r="A25" s="12" t="s">
        <v>78</v>
      </c>
      <c r="B25" s="1">
        <f>INDEX(LINEST($F$7:$F$22,$D$7:$D$22^{1,2}),1)</f>
        <v>3.7129243755021167E-4</v>
      </c>
      <c r="C25" s="1"/>
      <c r="D25" s="12" t="s">
        <v>81</v>
      </c>
      <c r="E25" s="1">
        <f>B25</f>
        <v>3.7129243755021167E-4</v>
      </c>
      <c r="G25" s="18" t="s">
        <v>90</v>
      </c>
      <c r="H25" s="17">
        <f>SQRT(E25*E27)/B3^2</f>
        <v>2.6825052741286524E-7</v>
      </c>
      <c r="I25" t="s">
        <v>106</v>
      </c>
    </row>
    <row r="26" spans="1:10" ht="15.6" x14ac:dyDescent="0.35">
      <c r="A26" s="13" t="s">
        <v>89</v>
      </c>
      <c r="B26" s="1">
        <f>INDEX(LINEST($F$7:$F$22,$D$7:$D$22^{1,2}),1,2)</f>
        <v>5.9844957589776386E-5</v>
      </c>
      <c r="C26" s="1"/>
      <c r="D26" s="12" t="s">
        <v>79</v>
      </c>
      <c r="E26" s="1">
        <f>B26/(-2*E25)</f>
        <v>-8.0590057239831689E-2</v>
      </c>
      <c r="G26" s="18" t="s">
        <v>91</v>
      </c>
      <c r="H26" s="17">
        <f>PI()*0.001*0.0002</f>
        <v>6.2831853071795864E-7</v>
      </c>
      <c r="I26" t="s">
        <v>106</v>
      </c>
    </row>
    <row r="27" spans="1:10" ht="16.2" x14ac:dyDescent="0.3">
      <c r="A27" s="12" t="s">
        <v>87</v>
      </c>
      <c r="B27" s="1">
        <f>INDEX(LINEST($F$7:$F$22,$D$7:$D$22^{1,2}),1,3)</f>
        <v>2.648692173472907E-6</v>
      </c>
      <c r="C27" s="1"/>
      <c r="D27" s="12" t="s">
        <v>80</v>
      </c>
      <c r="E27" s="1">
        <f>B27-E25*E26^2</f>
        <v>2.372378946352176E-7</v>
      </c>
      <c r="G27" s="18" t="s">
        <v>88</v>
      </c>
      <c r="H27" s="19">
        <f>H25/H26</f>
        <v>0.42693397424765478</v>
      </c>
    </row>
    <row r="28" spans="1:10" x14ac:dyDescent="0.3">
      <c r="D28" s="1"/>
    </row>
    <row r="29" spans="1:10" ht="15.6" x14ac:dyDescent="0.35">
      <c r="D29" s="20" t="s">
        <v>95</v>
      </c>
      <c r="E29" s="1">
        <f>E25/B3^2</f>
        <v>1.0612228822097542E-5</v>
      </c>
      <c r="G29" s="14" t="s">
        <v>94</v>
      </c>
      <c r="H29" s="15">
        <f>SQRT(E29*E31-E30^2)</f>
        <v>2.6825052741286508E-7</v>
      </c>
      <c r="I29" t="s">
        <v>106</v>
      </c>
      <c r="J29" t="s">
        <v>107</v>
      </c>
    </row>
    <row r="30" spans="1:10" ht="15.6" x14ac:dyDescent="0.35">
      <c r="D30" s="20" t="s">
        <v>96</v>
      </c>
      <c r="E30" s="1">
        <f>-(E25/B3^2)*(1/B3+E26)</f>
        <v>-9.3888139707618329E-7</v>
      </c>
    </row>
    <row r="31" spans="1:10" ht="15.6" x14ac:dyDescent="0.35">
      <c r="D31" s="20" t="s">
        <v>97</v>
      </c>
      <c r="E31" s="1">
        <f>(1/B3^2)*(E25*E26^2+E27+2*E25*E26/B3+E25/B3^2)</f>
        <v>8.9845087136422312E-8</v>
      </c>
    </row>
    <row r="32" spans="1:10" x14ac:dyDescent="0.3">
      <c r="D32" s="1"/>
    </row>
    <row r="33" spans="3:4" x14ac:dyDescent="0.3">
      <c r="C33" s="1"/>
      <c r="D33" s="1"/>
    </row>
    <row r="34" spans="3:4" x14ac:dyDescent="0.3">
      <c r="C34" s="1"/>
      <c r="D34" s="1"/>
    </row>
    <row r="35" spans="3:4" x14ac:dyDescent="0.3">
      <c r="C35" s="1"/>
      <c r="D35" s="1"/>
    </row>
    <row r="36" spans="3:4" x14ac:dyDescent="0.3">
      <c r="C36" s="1"/>
      <c r="D36" s="1"/>
    </row>
    <row r="37" spans="3:4" x14ac:dyDescent="0.3">
      <c r="C37" s="1"/>
      <c r="D37" s="1"/>
    </row>
    <row r="38" spans="3:4" x14ac:dyDescent="0.3">
      <c r="C38" s="1"/>
      <c r="D38" s="1"/>
    </row>
  </sheetData>
  <sortState ref="A5:D21">
    <sortCondition ref="A5"/>
  </sortState>
  <mergeCells count="1">
    <mergeCell ref="A1:XFD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8"/>
  <sheetViews>
    <sheetView workbookViewId="0">
      <selection activeCell="F4" sqref="F4"/>
    </sheetView>
  </sheetViews>
  <sheetFormatPr defaultColWidth="8.77734375" defaultRowHeight="14.4" x14ac:dyDescent="0.3"/>
  <cols>
    <col min="1" max="1" width="21.44140625" bestFit="1" customWidth="1"/>
    <col min="2" max="2" width="17.88671875" bestFit="1" customWidth="1"/>
    <col min="3" max="3" width="8.44140625" bestFit="1" customWidth="1"/>
    <col min="4" max="4" width="11" bestFit="1" customWidth="1"/>
    <col min="5" max="5" width="13.21875" customWidth="1"/>
    <col min="6" max="6" width="15.109375" bestFit="1" customWidth="1"/>
    <col min="7" max="7" width="7.44140625" bestFit="1" customWidth="1"/>
    <col min="8" max="8" width="14.109375" bestFit="1" customWidth="1"/>
    <col min="9" max="9" width="8.21875" bestFit="1" customWidth="1"/>
  </cols>
  <sheetData>
    <row r="1" spans="1:9" s="26" customFormat="1" ht="20.399999999999999" thickBot="1" x14ac:dyDescent="0.45">
      <c r="A1" s="26" t="s">
        <v>75</v>
      </c>
    </row>
    <row r="2" spans="1:9" ht="15" thickTop="1" x14ac:dyDescent="0.3">
      <c r="A2" s="4"/>
    </row>
    <row r="3" spans="1:9" x14ac:dyDescent="0.3">
      <c r="A3" s="12" t="s">
        <v>76</v>
      </c>
      <c r="B3">
        <f>0.5+2.365+0.5+0.26+0.28+0.26+1.75</f>
        <v>5.915</v>
      </c>
      <c r="C3" t="s">
        <v>77</v>
      </c>
      <c r="F3" s="28" t="s">
        <v>113</v>
      </c>
    </row>
    <row r="4" spans="1:9" x14ac:dyDescent="0.3">
      <c r="A4" s="12" t="s">
        <v>98</v>
      </c>
      <c r="B4">
        <v>0.8</v>
      </c>
    </row>
    <row r="5" spans="1:9" x14ac:dyDescent="0.3">
      <c r="A5" s="12" t="s">
        <v>103</v>
      </c>
      <c r="B5">
        <v>0.34010000000000001</v>
      </c>
    </row>
    <row r="6" spans="1:9" ht="30" x14ac:dyDescent="0.3">
      <c r="A6" s="8" t="s">
        <v>101</v>
      </c>
      <c r="B6" s="8" t="s">
        <v>100</v>
      </c>
      <c r="C6" s="8" t="s">
        <v>109</v>
      </c>
      <c r="D6" s="8" t="s">
        <v>110</v>
      </c>
      <c r="E6" s="8" t="s">
        <v>111</v>
      </c>
      <c r="F6" s="8" t="s">
        <v>112</v>
      </c>
      <c r="G6" s="8" t="s">
        <v>102</v>
      </c>
      <c r="H6" s="8" t="s">
        <v>104</v>
      </c>
      <c r="I6" s="8" t="s">
        <v>105</v>
      </c>
    </row>
    <row r="7" spans="1:9" x14ac:dyDescent="0.3">
      <c r="A7" s="9">
        <v>-0.1</v>
      </c>
      <c r="B7" s="10">
        <f t="shared" ref="B7:B22" si="0">A7/0.13</f>
        <v>-0.76923076923076927</v>
      </c>
      <c r="C7" s="10">
        <f>SQRT(ABS(B7)/B$4)</f>
        <v>0.98058067569092022</v>
      </c>
      <c r="D7" s="10">
        <f>COSH(C7*B$5)</f>
        <v>1.0561269397332118</v>
      </c>
      <c r="E7" s="10">
        <f>C7*SINH(C7*B$5)</f>
        <v>0.33311483471319503</v>
      </c>
      <c r="F7" s="27">
        <f t="shared" ref="F7:F22" si="1">1/C7*SINH(C7*B$5)</f>
        <v>0.34643942810172279</v>
      </c>
      <c r="G7" s="10">
        <f t="shared" ref="G7:G16" si="2">-C7*SINH(C7*B$5)</f>
        <v>-0.33311483471319503</v>
      </c>
      <c r="H7" s="11">
        <v>4.9200331508640199E-3</v>
      </c>
      <c r="I7" s="11">
        <f t="shared" ref="I7:I22" si="3">H7^2</f>
        <v>2.4206726205600935E-5</v>
      </c>
    </row>
    <row r="8" spans="1:9" x14ac:dyDescent="0.3">
      <c r="A8" s="9">
        <v>-0.09</v>
      </c>
      <c r="B8" s="10">
        <f t="shared" si="0"/>
        <v>-0.69230769230769229</v>
      </c>
      <c r="C8" s="10">
        <f t="shared" ref="C8:C22" si="4">SQRT(ABS(B8)/B$4)</f>
        <v>0.93026050941906335</v>
      </c>
      <c r="D8" s="10">
        <f t="shared" ref="D8:D22" si="5">COSH(C8*B$5)</f>
        <v>1.0504675316441803</v>
      </c>
      <c r="E8" s="10">
        <f t="shared" ref="E8:E22" si="6">C8*SINH(C8*B$5)</f>
        <v>0.29925200265179647</v>
      </c>
      <c r="F8" s="27">
        <f t="shared" si="1"/>
        <v>0.34580231417540935</v>
      </c>
      <c r="G8" s="10">
        <f t="shared" si="2"/>
        <v>-0.29925200265179647</v>
      </c>
      <c r="H8" s="11">
        <v>4.2512927528120803E-3</v>
      </c>
      <c r="I8" s="11">
        <f t="shared" si="3"/>
        <v>1.8073490070112517E-5</v>
      </c>
    </row>
    <row r="9" spans="1:9" x14ac:dyDescent="0.3">
      <c r="A9" s="9">
        <v>-0.08</v>
      </c>
      <c r="B9" s="10">
        <f t="shared" si="0"/>
        <v>-0.61538461538461542</v>
      </c>
      <c r="C9" s="10">
        <f t="shared" si="4"/>
        <v>0.8770580193070292</v>
      </c>
      <c r="D9" s="10">
        <f t="shared" si="5"/>
        <v>1.0448185352062962</v>
      </c>
      <c r="E9" s="10">
        <f t="shared" si="6"/>
        <v>0.2655122357178093</v>
      </c>
      <c r="F9" s="27">
        <f t="shared" si="1"/>
        <v>0.34516590643315215</v>
      </c>
      <c r="G9" s="10">
        <f t="shared" si="2"/>
        <v>-0.2655122357178093</v>
      </c>
      <c r="H9" s="11">
        <v>3.5861601857807299E-3</v>
      </c>
      <c r="I9" s="11">
        <f t="shared" si="3"/>
        <v>1.2860544878078879E-5</v>
      </c>
    </row>
    <row r="10" spans="1:9" x14ac:dyDescent="0.3">
      <c r="A10" s="9">
        <v>-7.0000000000000007E-2</v>
      </c>
      <c r="B10" s="10">
        <f t="shared" si="0"/>
        <v>-0.53846153846153855</v>
      </c>
      <c r="C10" s="10">
        <f t="shared" si="4"/>
        <v>0.82041265414236697</v>
      </c>
      <c r="D10" s="10">
        <f t="shared" si="5"/>
        <v>1.0391799388773495</v>
      </c>
      <c r="E10" s="10">
        <f t="shared" si="6"/>
        <v>0.23189532982740668</v>
      </c>
      <c r="F10" s="27">
        <f t="shared" si="1"/>
        <v>0.3445302043150042</v>
      </c>
      <c r="G10" s="10">
        <f t="shared" si="2"/>
        <v>-0.23189532982740668</v>
      </c>
      <c r="H10" s="11">
        <v>2.9246200470683598E-3</v>
      </c>
      <c r="I10" s="11">
        <f t="shared" si="3"/>
        <v>8.5534024197141349E-6</v>
      </c>
    </row>
    <row r="11" spans="1:9" x14ac:dyDescent="0.3">
      <c r="A11" s="9">
        <v>-0.06</v>
      </c>
      <c r="B11" s="10">
        <f t="shared" si="0"/>
        <v>-0.46153846153846151</v>
      </c>
      <c r="C11" s="10">
        <f t="shared" si="4"/>
        <v>0.75955452531274992</v>
      </c>
      <c r="D11" s="10">
        <f t="shared" si="5"/>
        <v>1.0335517311242828</v>
      </c>
      <c r="E11" s="10">
        <f t="shared" si="6"/>
        <v>0.19840108111232541</v>
      </c>
      <c r="F11" s="27">
        <f t="shared" si="1"/>
        <v>0.34389520726136408</v>
      </c>
      <c r="G11" s="10">
        <f t="shared" si="2"/>
        <v>-0.19840108111232541</v>
      </c>
      <c r="H11" s="11">
        <v>2.2666692807722598E-3</v>
      </c>
      <c r="I11" s="11">
        <f t="shared" si="3"/>
        <v>5.1377896283966336E-6</v>
      </c>
    </row>
    <row r="12" spans="1:9" x14ac:dyDescent="0.3">
      <c r="A12" s="9">
        <v>-0.05</v>
      </c>
      <c r="B12" s="10">
        <f t="shared" si="0"/>
        <v>-0.38461538461538464</v>
      </c>
      <c r="C12" s="10">
        <f t="shared" si="4"/>
        <v>0.69337524528153638</v>
      </c>
      <c r="D12" s="10">
        <f t="shared" si="5"/>
        <v>1.0279339004231864</v>
      </c>
      <c r="E12" s="10">
        <f t="shared" si="6"/>
        <v>0.16502928591969981</v>
      </c>
      <c r="F12" s="27">
        <f t="shared" si="1"/>
        <v>0.34326091471297565</v>
      </c>
      <c r="G12" s="10">
        <f t="shared" si="2"/>
        <v>-0.16502928591969981</v>
      </c>
      <c r="H12" s="11">
        <v>1.6122928463584501E-3</v>
      </c>
      <c r="I12" s="11">
        <f t="shared" si="3"/>
        <v>2.5994882224186326E-6</v>
      </c>
    </row>
    <row r="13" spans="1:9" x14ac:dyDescent="0.3">
      <c r="A13" s="9">
        <v>-3.9999999999999897E-2</v>
      </c>
      <c r="B13" s="10">
        <f t="shared" si="0"/>
        <v>-0.30769230769230688</v>
      </c>
      <c r="C13" s="10">
        <f t="shared" si="4"/>
        <v>0.62017367294604142</v>
      </c>
      <c r="D13" s="10">
        <f t="shared" si="5"/>
        <v>1.0223264352592918</v>
      </c>
      <c r="E13" s="10">
        <f t="shared" si="6"/>
        <v>0.131779740811895</v>
      </c>
      <c r="F13" s="27">
        <f t="shared" si="1"/>
        <v>0.342627326110928</v>
      </c>
      <c r="G13" s="10">
        <f t="shared" si="2"/>
        <v>-0.131779740811895</v>
      </c>
      <c r="H13" s="11">
        <v>9.6148136557953402E-4</v>
      </c>
      <c r="I13" s="11">
        <f t="shared" si="3"/>
        <v>9.2444641635668559E-7</v>
      </c>
    </row>
    <row r="14" spans="1:9" x14ac:dyDescent="0.3">
      <c r="A14" s="9">
        <v>-2.9999999999999898E-2</v>
      </c>
      <c r="B14" s="10">
        <f t="shared" si="0"/>
        <v>-0.23076923076922998</v>
      </c>
      <c r="C14" s="10">
        <f t="shared" si="4"/>
        <v>0.53708615552957373</v>
      </c>
      <c r="D14" s="10">
        <f t="shared" si="5"/>
        <v>1.0167293241269661</v>
      </c>
      <c r="E14" s="10">
        <f t="shared" si="6"/>
        <v>9.8652242566342502E-2</v>
      </c>
      <c r="F14" s="27">
        <f t="shared" si="1"/>
        <v>0.34199444089665521</v>
      </c>
      <c r="G14" s="10">
        <f t="shared" si="2"/>
        <v>-9.8652242566342502E-2</v>
      </c>
      <c r="H14" s="21">
        <v>6.2389924446269599E-4</v>
      </c>
      <c r="I14" s="11">
        <f t="shared" si="3"/>
        <v>3.8925026724112289E-7</v>
      </c>
    </row>
    <row r="15" spans="1:9" x14ac:dyDescent="0.3">
      <c r="A15" s="9">
        <v>-1.99999999999999E-2</v>
      </c>
      <c r="B15" s="10">
        <f t="shared" si="0"/>
        <v>-0.15384615384615308</v>
      </c>
      <c r="C15" s="10">
        <f t="shared" si="4"/>
        <v>0.43852900965351349</v>
      </c>
      <c r="D15" s="10">
        <f t="shared" si="5"/>
        <v>1.0111425555297078</v>
      </c>
      <c r="E15" s="10">
        <f t="shared" si="6"/>
        <v>6.5646588175372042E-2</v>
      </c>
      <c r="F15" s="27">
        <f t="shared" si="1"/>
        <v>0.34136225851193636</v>
      </c>
      <c r="G15" s="10">
        <f t="shared" si="2"/>
        <v>-6.5646588175372042E-2</v>
      </c>
      <c r="H15" s="11">
        <v>9.0928207358094903E-4</v>
      </c>
      <c r="I15" s="11">
        <f t="shared" si="3"/>
        <v>8.267938893356704E-7</v>
      </c>
    </row>
    <row r="16" spans="1:9" x14ac:dyDescent="0.3">
      <c r="A16" s="9">
        <v>-9.99999999999991E-3</v>
      </c>
      <c r="B16" s="10">
        <f t="shared" si="0"/>
        <v>-7.6923076923076233E-2</v>
      </c>
      <c r="C16" s="10">
        <f t="shared" si="4"/>
        <v>0.31008683647301977</v>
      </c>
      <c r="D16" s="10">
        <f t="shared" si="5"/>
        <v>1.0055661179801385</v>
      </c>
      <c r="E16" s="10">
        <f t="shared" si="6"/>
        <v>3.2762574846047332E-2</v>
      </c>
      <c r="F16" s="27">
        <f t="shared" si="1"/>
        <v>0.34073077839889526</v>
      </c>
      <c r="G16" s="10">
        <f t="shared" si="2"/>
        <v>-3.2762574846047332E-2</v>
      </c>
      <c r="H16" s="11">
        <v>1.19307162081399E-3</v>
      </c>
      <c r="I16" s="11">
        <f t="shared" si="3"/>
        <v>1.4234198923917211E-6</v>
      </c>
    </row>
    <row r="17" spans="1:9" x14ac:dyDescent="0.3">
      <c r="A17" s="9">
        <v>1E-3</v>
      </c>
      <c r="B17" s="10">
        <f t="shared" si="0"/>
        <v>7.6923076923076919E-3</v>
      </c>
      <c r="C17" s="10">
        <f t="shared" si="4"/>
        <v>9.8058067569092008E-2</v>
      </c>
      <c r="D17" s="10">
        <f t="shared" si="5"/>
        <v>1.0005561477443314</v>
      </c>
      <c r="E17" s="10">
        <f t="shared" si="6"/>
        <v>3.2707985219099563E-3</v>
      </c>
      <c r="F17" s="27">
        <f t="shared" si="1"/>
        <v>0.34016304627863553</v>
      </c>
      <c r="G17" s="10">
        <f t="shared" ref="G17:G21" si="7">C17*SINH(C17*B$5)</f>
        <v>3.2707985219099563E-3</v>
      </c>
      <c r="H17" s="11">
        <v>1.6698024153945399E-3</v>
      </c>
      <c r="I17" s="11">
        <f t="shared" si="3"/>
        <v>2.7882401064574396E-6</v>
      </c>
    </row>
    <row r="18" spans="1:9" x14ac:dyDescent="0.3">
      <c r="A18" s="9">
        <v>0.01</v>
      </c>
      <c r="B18" s="10">
        <f t="shared" si="0"/>
        <v>7.6923076923076927E-2</v>
      </c>
      <c r="C18" s="10">
        <f t="shared" si="4"/>
        <v>0.31008683647302115</v>
      </c>
      <c r="D18" s="10">
        <f t="shared" si="5"/>
        <v>1.0055661179801385</v>
      </c>
      <c r="E18" s="10">
        <f t="shared" si="6"/>
        <v>3.2762574846047623E-2</v>
      </c>
      <c r="F18" s="27">
        <f t="shared" si="1"/>
        <v>0.34073077839889526</v>
      </c>
      <c r="G18" s="10">
        <f t="shared" si="7"/>
        <v>3.2762574846047623E-2</v>
      </c>
      <c r="H18" s="11">
        <v>2.2394696094846199E-3</v>
      </c>
      <c r="I18" s="11">
        <f t="shared" si="3"/>
        <v>5.0152241318051957E-6</v>
      </c>
    </row>
    <row r="19" spans="1:9" x14ac:dyDescent="0.3">
      <c r="A19" s="9">
        <v>0.02</v>
      </c>
      <c r="B19" s="10">
        <f t="shared" si="0"/>
        <v>0.15384615384615385</v>
      </c>
      <c r="C19" s="10">
        <f t="shared" si="4"/>
        <v>0.4385290096535146</v>
      </c>
      <c r="D19" s="10">
        <f t="shared" si="5"/>
        <v>1.0111425555297078</v>
      </c>
      <c r="E19" s="10">
        <f t="shared" si="6"/>
        <v>6.5646588175372375E-2</v>
      </c>
      <c r="F19" s="27">
        <f t="shared" si="1"/>
        <v>0.34136225851193641</v>
      </c>
      <c r="G19" s="10">
        <f t="shared" si="7"/>
        <v>6.5646588175372375E-2</v>
      </c>
      <c r="H19" s="11">
        <v>2.8691051558586999E-3</v>
      </c>
      <c r="I19" s="11">
        <f t="shared" si="3"/>
        <v>8.2317643953749741E-6</v>
      </c>
    </row>
    <row r="20" spans="1:9" x14ac:dyDescent="0.3">
      <c r="A20" s="9">
        <v>0.03</v>
      </c>
      <c r="B20" s="10">
        <f t="shared" si="0"/>
        <v>0.23076923076923075</v>
      </c>
      <c r="C20" s="10">
        <f t="shared" si="4"/>
        <v>0.53708615552957462</v>
      </c>
      <c r="D20" s="10">
        <f t="shared" si="5"/>
        <v>1.0167293241269664</v>
      </c>
      <c r="E20" s="10">
        <f t="shared" si="6"/>
        <v>9.8652242566342821E-2</v>
      </c>
      <c r="F20" s="27">
        <f t="shared" si="1"/>
        <v>0.34199444089665521</v>
      </c>
      <c r="G20" s="10">
        <f t="shared" si="7"/>
        <v>9.8652242566342821E-2</v>
      </c>
      <c r="H20" s="11">
        <v>3.4952662027439799E-3</v>
      </c>
      <c r="I20" s="11">
        <f t="shared" si="3"/>
        <v>1.2216885828044321E-5</v>
      </c>
    </row>
    <row r="21" spans="1:9" x14ac:dyDescent="0.3">
      <c r="A21" s="9">
        <v>0.04</v>
      </c>
      <c r="B21" s="10">
        <f t="shared" si="0"/>
        <v>0.30769230769230771</v>
      </c>
      <c r="C21" s="10">
        <f t="shared" si="4"/>
        <v>0.62017367294604231</v>
      </c>
      <c r="D21" s="10">
        <f t="shared" si="5"/>
        <v>1.0223264352592918</v>
      </c>
      <c r="E21" s="10">
        <f t="shared" si="6"/>
        <v>0.13177974081189536</v>
      </c>
      <c r="F21" s="27">
        <f t="shared" si="1"/>
        <v>0.34262732611092789</v>
      </c>
      <c r="G21" s="10">
        <f t="shared" si="7"/>
        <v>0.13177974081189536</v>
      </c>
      <c r="H21" s="11">
        <v>4.1179326519645999E-3</v>
      </c>
      <c r="I21" s="11">
        <f t="shared" si="3"/>
        <v>1.6957369326116202E-5</v>
      </c>
    </row>
    <row r="22" spans="1:9" x14ac:dyDescent="0.3">
      <c r="A22" s="9">
        <v>0.05</v>
      </c>
      <c r="B22" s="10">
        <f t="shared" si="0"/>
        <v>0.38461538461538464</v>
      </c>
      <c r="C22" s="10">
        <f t="shared" si="4"/>
        <v>0.69337524528153638</v>
      </c>
      <c r="D22" s="10">
        <f t="shared" si="5"/>
        <v>1.0279339004231864</v>
      </c>
      <c r="E22" s="10">
        <f t="shared" si="6"/>
        <v>0.16502928591969981</v>
      </c>
      <c r="F22" s="27">
        <f t="shared" si="1"/>
        <v>0.34326091471297565</v>
      </c>
      <c r="G22" s="10">
        <f>C22*SINH(C22*B$5)</f>
        <v>0.16502928591969981</v>
      </c>
      <c r="H22" s="11">
        <v>4.7371257726572897E-3</v>
      </c>
      <c r="I22" s="11">
        <f t="shared" si="3"/>
        <v>2.2440360585973924E-5</v>
      </c>
    </row>
    <row r="24" spans="1:9" x14ac:dyDescent="0.3">
      <c r="A24" s="4" t="s">
        <v>86</v>
      </c>
    </row>
    <row r="25" spans="1:9" ht="15.6" x14ac:dyDescent="0.35">
      <c r="A25" s="12" t="s">
        <v>78</v>
      </c>
      <c r="B25" s="1">
        <f>INDEX(LINEST($I$7:$I$22,$G$7:$G$22^{1,2}),1)</f>
        <v>3.7129243755021167E-4</v>
      </c>
      <c r="C25" s="1"/>
      <c r="D25" s="12" t="s">
        <v>81</v>
      </c>
      <c r="E25" s="1">
        <f>B25</f>
        <v>3.7129243755021167E-4</v>
      </c>
      <c r="G25" s="18" t="s">
        <v>90</v>
      </c>
      <c r="H25" s="17">
        <f>SQRT(E25*E27)/B3^2</f>
        <v>2.6825052741286524E-7</v>
      </c>
      <c r="I25" t="s">
        <v>108</v>
      </c>
    </row>
    <row r="26" spans="1:9" ht="15.6" x14ac:dyDescent="0.35">
      <c r="A26" s="13" t="s">
        <v>89</v>
      </c>
      <c r="B26" s="1">
        <f>INDEX(LINEST($I$7:$I$22,$G$7:$G$22^{1,2}),1,2)</f>
        <v>5.9844957589776386E-5</v>
      </c>
      <c r="C26" s="1"/>
      <c r="D26" s="12" t="s">
        <v>79</v>
      </c>
      <c r="E26" s="1">
        <f>B26/(-2*E25)</f>
        <v>-8.0590057239831689E-2</v>
      </c>
      <c r="G26" s="18" t="s">
        <v>91</v>
      </c>
      <c r="H26" s="17">
        <f>PI()*0.001*0.0002</f>
        <v>6.2831853071795864E-7</v>
      </c>
      <c r="I26" t="s">
        <v>108</v>
      </c>
    </row>
    <row r="27" spans="1:9" ht="16.2" x14ac:dyDescent="0.3">
      <c r="A27" s="12" t="s">
        <v>87</v>
      </c>
      <c r="B27" s="1">
        <f>INDEX(LINEST($I$7:$I$22,$G$7:$G$22^{1,2}),1,3)</f>
        <v>2.648692173472907E-6</v>
      </c>
      <c r="C27" s="1"/>
      <c r="D27" s="12" t="s">
        <v>80</v>
      </c>
      <c r="E27" s="1">
        <f>B27-E25*E26^2</f>
        <v>2.372378946352176E-7</v>
      </c>
      <c r="G27" s="18" t="s">
        <v>88</v>
      </c>
      <c r="H27" s="19">
        <f>H25/H26</f>
        <v>0.42693397424765478</v>
      </c>
    </row>
    <row r="28" spans="1:9" x14ac:dyDescent="0.3">
      <c r="D28" s="1"/>
    </row>
    <row r="29" spans="1:9" ht="15.6" x14ac:dyDescent="0.35">
      <c r="D29" s="20" t="s">
        <v>95</v>
      </c>
      <c r="E29" s="1">
        <f>E25/B3^2</f>
        <v>1.0612228822097542E-5</v>
      </c>
      <c r="G29" s="14" t="s">
        <v>94</v>
      </c>
      <c r="H29" s="15">
        <f>SQRT(E29*E31-E30^2)</f>
        <v>2.6825052741286508E-7</v>
      </c>
      <c r="I29" t="s">
        <v>108</v>
      </c>
    </row>
    <row r="30" spans="1:9" ht="15.6" x14ac:dyDescent="0.35">
      <c r="D30" s="20" t="s">
        <v>96</v>
      </c>
      <c r="E30" s="1">
        <f>-(E25/B3^2)*(1/B3+E26)</f>
        <v>-9.3888139707618329E-7</v>
      </c>
    </row>
    <row r="31" spans="1:9" ht="15.6" x14ac:dyDescent="0.35">
      <c r="D31" s="20" t="s">
        <v>97</v>
      </c>
      <c r="E31" s="1">
        <f>(1/B3^2)*(E25*E26^2+E27+2*E25*E26/B3+E25/B3^2)</f>
        <v>8.9845087136422312E-8</v>
      </c>
    </row>
    <row r="32" spans="1:9" x14ac:dyDescent="0.3">
      <c r="D32" s="1"/>
    </row>
    <row r="33" spans="3:4" x14ac:dyDescent="0.3">
      <c r="C33" s="1"/>
      <c r="D33" s="1"/>
    </row>
    <row r="34" spans="3:4" x14ac:dyDescent="0.3">
      <c r="C34" s="1"/>
      <c r="D34" s="1"/>
    </row>
    <row r="35" spans="3:4" x14ac:dyDescent="0.3">
      <c r="C35" s="1"/>
      <c r="D35" s="1"/>
    </row>
    <row r="36" spans="3:4" x14ac:dyDescent="0.3">
      <c r="C36" s="1"/>
      <c r="D36" s="1"/>
    </row>
    <row r="37" spans="3:4" x14ac:dyDescent="0.3">
      <c r="C37" s="1"/>
      <c r="D37" s="1"/>
    </row>
    <row r="38" spans="3:4" x14ac:dyDescent="0.3">
      <c r="C38" s="1"/>
      <c r="D38" s="1"/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38"/>
  <sheetViews>
    <sheetView workbookViewId="0">
      <selection sqref="A1:XFD1"/>
    </sheetView>
  </sheetViews>
  <sheetFormatPr defaultColWidth="8.77734375" defaultRowHeight="14.4" x14ac:dyDescent="0.3"/>
  <cols>
    <col min="1" max="1" width="21.44140625" bestFit="1" customWidth="1"/>
    <col min="2" max="2" width="17.88671875" bestFit="1" customWidth="1"/>
    <col min="3" max="3" width="9.5546875" bestFit="1" customWidth="1"/>
    <col min="4" max="4" width="14.109375" bestFit="1" customWidth="1"/>
    <col min="5" max="5" width="13.33203125" bestFit="1" customWidth="1"/>
    <col min="7" max="7" width="8.109375" bestFit="1" customWidth="1"/>
  </cols>
  <sheetData>
    <row r="1" spans="1:5" s="26" customFormat="1" ht="20.399999999999999" thickBot="1" x14ac:dyDescent="0.45">
      <c r="A1" s="26" t="s">
        <v>75</v>
      </c>
    </row>
    <row r="2" spans="1:5" ht="15" thickTop="1" x14ac:dyDescent="0.3">
      <c r="A2" s="4"/>
    </row>
    <row r="3" spans="1:5" x14ac:dyDescent="0.3">
      <c r="A3" s="12" t="s">
        <v>76</v>
      </c>
      <c r="B3">
        <f>0.5+2.365+0.5+0.26+0.28+0.26+1.75</f>
        <v>5.915</v>
      </c>
      <c r="C3" t="s">
        <v>77</v>
      </c>
    </row>
    <row r="4" spans="1:5" x14ac:dyDescent="0.3">
      <c r="A4" s="12" t="s">
        <v>98</v>
      </c>
      <c r="B4">
        <v>0.8</v>
      </c>
    </row>
    <row r="5" spans="1:5" x14ac:dyDescent="0.3">
      <c r="A5" s="12" t="s">
        <v>103</v>
      </c>
      <c r="B5">
        <v>0.34010000000000001</v>
      </c>
    </row>
    <row r="6" spans="1:5" ht="30" x14ac:dyDescent="0.3">
      <c r="A6" s="8" t="s">
        <v>101</v>
      </c>
      <c r="B6" s="8" t="s">
        <v>100</v>
      </c>
      <c r="C6" s="8" t="s">
        <v>99</v>
      </c>
      <c r="D6" s="8" t="s">
        <v>104</v>
      </c>
      <c r="E6" s="8" t="s">
        <v>105</v>
      </c>
    </row>
    <row r="7" spans="1:5" x14ac:dyDescent="0.3">
      <c r="A7" s="9">
        <v>-0.1</v>
      </c>
      <c r="B7" s="10">
        <f t="shared" ref="B7:B22" si="0">A7/0.13</f>
        <v>-0.76923076923076927</v>
      </c>
      <c r="C7" s="22">
        <f>SQRT(ABS(B7)/B$4)</f>
        <v>0.98058067569092022</v>
      </c>
      <c r="D7" s="11">
        <v>4.9200331508640199E-3</v>
      </c>
      <c r="E7" s="23">
        <f t="shared" ref="E7:E22" si="1">D7^2</f>
        <v>2.4206726205600935E-5</v>
      </c>
    </row>
    <row r="8" spans="1:5" x14ac:dyDescent="0.3">
      <c r="A8" s="9">
        <v>-0.09</v>
      </c>
      <c r="B8" s="10">
        <f t="shared" si="0"/>
        <v>-0.69230769230769229</v>
      </c>
      <c r="C8" s="22">
        <f t="shared" ref="C8:C22" si="2">SQRT(ABS(B8)/B$4)</f>
        <v>0.93026050941906335</v>
      </c>
      <c r="D8" s="11">
        <v>4.2512927528120803E-3</v>
      </c>
      <c r="E8" s="23">
        <f t="shared" si="1"/>
        <v>1.8073490070112517E-5</v>
      </c>
    </row>
    <row r="9" spans="1:5" x14ac:dyDescent="0.3">
      <c r="A9" s="9">
        <v>-0.08</v>
      </c>
      <c r="B9" s="10">
        <f t="shared" si="0"/>
        <v>-0.61538461538461542</v>
      </c>
      <c r="C9" s="22">
        <f t="shared" si="2"/>
        <v>0.8770580193070292</v>
      </c>
      <c r="D9" s="11">
        <v>3.5861601857807299E-3</v>
      </c>
      <c r="E9" s="23">
        <f t="shared" si="1"/>
        <v>1.2860544878078879E-5</v>
      </c>
    </row>
    <row r="10" spans="1:5" x14ac:dyDescent="0.3">
      <c r="A10" s="9">
        <v>-7.0000000000000007E-2</v>
      </c>
      <c r="B10" s="10">
        <f t="shared" si="0"/>
        <v>-0.53846153846153855</v>
      </c>
      <c r="C10" s="22">
        <f t="shared" si="2"/>
        <v>0.82041265414236697</v>
      </c>
      <c r="D10" s="11">
        <v>2.9246200470683598E-3</v>
      </c>
      <c r="E10" s="23">
        <f t="shared" si="1"/>
        <v>8.5534024197141349E-6</v>
      </c>
    </row>
    <row r="11" spans="1:5" x14ac:dyDescent="0.3">
      <c r="A11" s="9">
        <v>-0.06</v>
      </c>
      <c r="B11" s="10">
        <f t="shared" si="0"/>
        <v>-0.46153846153846151</v>
      </c>
      <c r="C11" s="22">
        <f t="shared" si="2"/>
        <v>0.75955452531274992</v>
      </c>
      <c r="D11" s="11">
        <v>2.2666692807722598E-3</v>
      </c>
      <c r="E11" s="23">
        <f t="shared" si="1"/>
        <v>5.1377896283966336E-6</v>
      </c>
    </row>
    <row r="12" spans="1:5" x14ac:dyDescent="0.3">
      <c r="A12" s="9">
        <v>-0.05</v>
      </c>
      <c r="B12" s="10">
        <f t="shared" si="0"/>
        <v>-0.38461538461538464</v>
      </c>
      <c r="C12" s="22">
        <f t="shared" si="2"/>
        <v>0.69337524528153638</v>
      </c>
      <c r="D12" s="11">
        <v>1.6122928463584501E-3</v>
      </c>
      <c r="E12" s="23">
        <f t="shared" si="1"/>
        <v>2.5994882224186326E-6</v>
      </c>
    </row>
    <row r="13" spans="1:5" x14ac:dyDescent="0.3">
      <c r="A13" s="9">
        <v>-3.9999999999999897E-2</v>
      </c>
      <c r="B13" s="10">
        <f t="shared" si="0"/>
        <v>-0.30769230769230688</v>
      </c>
      <c r="C13" s="22">
        <f t="shared" si="2"/>
        <v>0.62017367294604142</v>
      </c>
      <c r="D13" s="11">
        <v>9.6148136557953402E-4</v>
      </c>
      <c r="E13" s="23">
        <f t="shared" si="1"/>
        <v>9.2444641635668559E-7</v>
      </c>
    </row>
    <row r="14" spans="1:5" x14ac:dyDescent="0.3">
      <c r="A14" s="9">
        <v>-2.9999999999999898E-2</v>
      </c>
      <c r="B14" s="10">
        <f t="shared" si="0"/>
        <v>-0.23076923076922998</v>
      </c>
      <c r="C14" s="22">
        <f t="shared" si="2"/>
        <v>0.53708615552957373</v>
      </c>
      <c r="D14" s="21">
        <v>6.2389924446269599E-4</v>
      </c>
      <c r="E14" s="23">
        <f t="shared" si="1"/>
        <v>3.8925026724112289E-7</v>
      </c>
    </row>
    <row r="15" spans="1:5" x14ac:dyDescent="0.3">
      <c r="A15" s="9">
        <v>-1.99999999999999E-2</v>
      </c>
      <c r="B15" s="10">
        <f t="shared" si="0"/>
        <v>-0.15384615384615308</v>
      </c>
      <c r="C15" s="22">
        <f t="shared" si="2"/>
        <v>0.43852900965351349</v>
      </c>
      <c r="D15" s="11">
        <v>9.0928207358094903E-4</v>
      </c>
      <c r="E15" s="23">
        <f t="shared" si="1"/>
        <v>8.267938893356704E-7</v>
      </c>
    </row>
    <row r="16" spans="1:5" x14ac:dyDescent="0.3">
      <c r="A16" s="9">
        <v>-9.99999999999991E-3</v>
      </c>
      <c r="B16" s="10">
        <f t="shared" si="0"/>
        <v>-7.6923076923076233E-2</v>
      </c>
      <c r="C16" s="22">
        <f t="shared" si="2"/>
        <v>0.31008683647301977</v>
      </c>
      <c r="D16" s="11">
        <v>1.19307162081399E-3</v>
      </c>
      <c r="E16" s="23">
        <f t="shared" si="1"/>
        <v>1.4234198923917211E-6</v>
      </c>
    </row>
    <row r="17" spans="1:5" x14ac:dyDescent="0.3">
      <c r="A17" s="9">
        <v>1E-3</v>
      </c>
      <c r="B17" s="10">
        <f t="shared" si="0"/>
        <v>7.6923076923076919E-3</v>
      </c>
      <c r="C17" s="22">
        <f t="shared" si="2"/>
        <v>9.8058067569092008E-2</v>
      </c>
      <c r="D17" s="11">
        <v>1.6698024153945399E-3</v>
      </c>
      <c r="E17" s="23">
        <f t="shared" si="1"/>
        <v>2.7882401064574396E-6</v>
      </c>
    </row>
    <row r="18" spans="1:5" x14ac:dyDescent="0.3">
      <c r="A18" s="9">
        <v>0.01</v>
      </c>
      <c r="B18" s="10">
        <f t="shared" si="0"/>
        <v>7.6923076923076927E-2</v>
      </c>
      <c r="C18" s="22">
        <f t="shared" si="2"/>
        <v>0.31008683647302115</v>
      </c>
      <c r="D18" s="11">
        <v>2.2394696094846199E-3</v>
      </c>
      <c r="E18" s="23">
        <f t="shared" si="1"/>
        <v>5.0152241318051957E-6</v>
      </c>
    </row>
    <row r="19" spans="1:5" x14ac:dyDescent="0.3">
      <c r="A19" s="9">
        <v>0.02</v>
      </c>
      <c r="B19" s="10">
        <f t="shared" si="0"/>
        <v>0.15384615384615385</v>
      </c>
      <c r="C19" s="22">
        <f t="shared" si="2"/>
        <v>0.4385290096535146</v>
      </c>
      <c r="D19" s="11">
        <v>2.8691051558586999E-3</v>
      </c>
      <c r="E19" s="23">
        <f t="shared" si="1"/>
        <v>8.2317643953749741E-6</v>
      </c>
    </row>
    <row r="20" spans="1:5" x14ac:dyDescent="0.3">
      <c r="A20" s="9">
        <v>0.03</v>
      </c>
      <c r="B20" s="10">
        <f t="shared" si="0"/>
        <v>0.23076923076923075</v>
      </c>
      <c r="C20" s="22">
        <f t="shared" si="2"/>
        <v>0.53708615552957462</v>
      </c>
      <c r="D20" s="11">
        <v>3.4952662027439799E-3</v>
      </c>
      <c r="E20" s="23">
        <f t="shared" si="1"/>
        <v>1.2216885828044321E-5</v>
      </c>
    </row>
    <row r="21" spans="1:5" x14ac:dyDescent="0.3">
      <c r="A21" s="9">
        <v>0.04</v>
      </c>
      <c r="B21" s="10">
        <f t="shared" si="0"/>
        <v>0.30769230769230771</v>
      </c>
      <c r="C21" s="22">
        <f t="shared" si="2"/>
        <v>0.62017367294604231</v>
      </c>
      <c r="D21" s="11">
        <v>4.1179326519645999E-3</v>
      </c>
      <c r="E21" s="23">
        <f t="shared" si="1"/>
        <v>1.6957369326116202E-5</v>
      </c>
    </row>
    <row r="22" spans="1:5" x14ac:dyDescent="0.3">
      <c r="A22" s="9">
        <v>0.05</v>
      </c>
      <c r="B22" s="10">
        <f t="shared" si="0"/>
        <v>0.38461538461538464</v>
      </c>
      <c r="C22" s="22">
        <f t="shared" si="2"/>
        <v>0.69337524528153638</v>
      </c>
      <c r="D22" s="11">
        <v>4.7371257726572897E-3</v>
      </c>
      <c r="E22" s="23">
        <f t="shared" si="1"/>
        <v>2.2440360585973924E-5</v>
      </c>
    </row>
    <row r="28" spans="1:5" ht="15.6" x14ac:dyDescent="0.35">
      <c r="B28" s="18" t="s">
        <v>90</v>
      </c>
      <c r="C28" s="17">
        <v>3.0946799999999998E-7</v>
      </c>
    </row>
    <row r="29" spans="1:5" ht="15.6" x14ac:dyDescent="0.35">
      <c r="B29" s="18" t="s">
        <v>91</v>
      </c>
      <c r="C29" s="17">
        <f>PI()*0.001*0.0002</f>
        <v>6.2831853071795864E-7</v>
      </c>
    </row>
    <row r="33" spans="3:3" x14ac:dyDescent="0.3">
      <c r="C33" s="1"/>
    </row>
    <row r="34" spans="3:3" x14ac:dyDescent="0.3">
      <c r="C34" s="1"/>
    </row>
    <row r="35" spans="3:3" x14ac:dyDescent="0.3">
      <c r="C35" s="1"/>
    </row>
    <row r="36" spans="3:3" x14ac:dyDescent="0.3">
      <c r="C36" s="1"/>
    </row>
    <row r="37" spans="3:3" x14ac:dyDescent="0.3">
      <c r="C37" s="1"/>
    </row>
    <row r="38" spans="3:3" x14ac:dyDescent="0.3">
      <c r="C38" s="1"/>
    </row>
  </sheetData>
  <mergeCells count="1">
    <mergeCell ref="A1:XFD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1B681-9BF7-46D5-9DD8-1C3466F39BE2}">
  <dimension ref="A1:J10"/>
  <sheetViews>
    <sheetView tabSelected="1" zoomScaleNormal="100" workbookViewId="0">
      <selection activeCell="D8" sqref="D8"/>
    </sheetView>
  </sheetViews>
  <sheetFormatPr defaultRowHeight="14.4" x14ac:dyDescent="0.3"/>
  <cols>
    <col min="1" max="1" width="8.88671875" customWidth="1"/>
    <col min="2" max="2" width="9.109375" bestFit="1" customWidth="1"/>
    <col min="3" max="3" width="11" bestFit="1" customWidth="1"/>
    <col min="4" max="4" width="13.88671875" bestFit="1" customWidth="1"/>
    <col min="5" max="5" width="12.44140625" bestFit="1" customWidth="1"/>
    <col min="6" max="6" width="10" bestFit="1" customWidth="1"/>
    <col min="7" max="7" width="7.6640625" bestFit="1" customWidth="1"/>
    <col min="8" max="8" width="25.88671875" bestFit="1" customWidth="1"/>
    <col min="9" max="12" width="8.88671875" customWidth="1"/>
  </cols>
  <sheetData>
    <row r="1" spans="1:10" s="26" customFormat="1" ht="20.399999999999999" thickBot="1" x14ac:dyDescent="0.45">
      <c r="A1" s="26" t="s">
        <v>114</v>
      </c>
    </row>
    <row r="2" spans="1:10" ht="15" thickTop="1" x14ac:dyDescent="0.3"/>
    <row r="3" spans="1:10" ht="28.8" x14ac:dyDescent="0.3">
      <c r="B3" s="31" t="s">
        <v>119</v>
      </c>
      <c r="C3" s="31" t="s">
        <v>120</v>
      </c>
      <c r="D3" s="8" t="s">
        <v>116</v>
      </c>
      <c r="E3" s="8" t="s">
        <v>117</v>
      </c>
      <c r="F3" s="8" t="s">
        <v>124</v>
      </c>
      <c r="G3" s="31" t="s">
        <v>115</v>
      </c>
      <c r="H3" s="33" t="s">
        <v>125</v>
      </c>
    </row>
    <row r="4" spans="1:10" x14ac:dyDescent="0.3">
      <c r="B4" s="30">
        <f>0.3-0.0021</f>
        <v>0.2979</v>
      </c>
      <c r="C4">
        <f>0.21788+0.001472</f>
        <v>0.21935199999999999</v>
      </c>
      <c r="D4" s="29">
        <v>742.12786892583301</v>
      </c>
      <c r="E4" s="29">
        <v>445.364341968058</v>
      </c>
      <c r="G4" s="2">
        <v>1.6393369081897501E-2</v>
      </c>
    </row>
    <row r="5" spans="1:10" x14ac:dyDescent="0.3">
      <c r="B5" s="30">
        <f>B4-0.03*B4</f>
        <v>0.28896300000000003</v>
      </c>
      <c r="C5">
        <f>0.21788+0.001472</f>
        <v>0.21935199999999999</v>
      </c>
      <c r="D5" s="29">
        <v>883.05536036446904</v>
      </c>
      <c r="E5" s="29">
        <v>103.28259082650401</v>
      </c>
      <c r="F5" s="1">
        <v>6.8685404223858496E-3</v>
      </c>
      <c r="G5" s="2">
        <v>-0.21495544291252999</v>
      </c>
      <c r="H5" t="s">
        <v>118</v>
      </c>
    </row>
    <row r="6" spans="1:10" x14ac:dyDescent="0.3">
      <c r="A6" s="32"/>
      <c r="B6" s="30">
        <f>B5</f>
        <v>0.28896300000000003</v>
      </c>
      <c r="C6" s="30">
        <v>0.226218210610757</v>
      </c>
      <c r="D6" s="29">
        <v>735.75438241316203</v>
      </c>
      <c r="E6" s="29">
        <v>455.29467092898602</v>
      </c>
      <c r="F6" s="1">
        <v>1.55799393731478E-3</v>
      </c>
      <c r="G6" s="2">
        <v>2.8232208747986001E-2</v>
      </c>
      <c r="H6" t="s">
        <v>122</v>
      </c>
    </row>
    <row r="7" spans="1:10" x14ac:dyDescent="0.3">
      <c r="B7" s="31"/>
      <c r="C7" s="8"/>
      <c r="D7" s="8"/>
      <c r="E7" s="31"/>
    </row>
    <row r="8" spans="1:10" x14ac:dyDescent="0.3">
      <c r="A8" s="35" t="s">
        <v>126</v>
      </c>
      <c r="B8" s="35"/>
      <c r="C8" s="36">
        <f>(C6-C5)/C5</f>
        <v>3.1302247578125629E-2</v>
      </c>
    </row>
    <row r="10" spans="1:10" x14ac:dyDescent="0.3">
      <c r="A10" s="34" t="s">
        <v>121</v>
      </c>
      <c r="B10" s="34"/>
      <c r="C10" s="34"/>
      <c r="H10" s="34" t="s">
        <v>123</v>
      </c>
      <c r="I10" s="34"/>
      <c r="J10" s="34"/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3.</vt:lpstr>
      <vt:lpstr>4.</vt:lpstr>
      <vt:lpstr>5.</vt:lpstr>
      <vt:lpstr>6.</vt:lpstr>
      <vt:lpstr>6. problem</vt:lpstr>
      <vt:lpstr>6. ThickLens</vt:lpstr>
      <vt:lpstr>7.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Jaclyn</dc:creator>
  <cp:lastModifiedBy>Jaclyn</cp:lastModifiedBy>
  <dcterms:created xsi:type="dcterms:W3CDTF">2018-09-10T18:21:03Z</dcterms:created>
  <dcterms:modified xsi:type="dcterms:W3CDTF">2018-09-12T19:06:54Z</dcterms:modified>
</cp:coreProperties>
</file>